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-2024\TC1 2023-2024\FICHEROS EXCEL\para DIAPOSITIVAS\"/>
    </mc:Choice>
  </mc:AlternateContent>
  <xr:revisionPtr revIDLastSave="0" documentId="13_ncr:1_{9FDE5F13-0300-4D84-AAC2-5D8AF2F1122E}" xr6:coauthVersionLast="47" xr6:coauthVersionMax="47" xr10:uidLastSave="{00000000-0000-0000-0000-000000000000}"/>
  <workbookProtection workbookAlgorithmName="SHA-512" workbookHashValue="xvOTLbw/S3uI1qrBvZRKnpS94r5s2Y0d9pSk8gSfWtVs5HFBwJrvfnjrB/TlRGjx5Xiur95hDENJbWyllcmhww==" workbookSaltValue="8IrbML7PpiDgES+AXi11xA==" workbookSpinCount="100000" lockStructure="1"/>
  <bookViews>
    <workbookView xWindow="-108" yWindow="-108" windowWidth="23256" windowHeight="12576" xr2:uid="{00000000-000D-0000-FFFF-FFFF00000000}"/>
  </bookViews>
  <sheets>
    <sheet name="MODELOS DE SERIES TEMPORALES" sheetId="1" r:id="rId1"/>
    <sheet name="cálcul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C2" i="1"/>
  <c r="C10" i="1"/>
  <c r="C11" i="1"/>
  <c r="C12" i="1"/>
  <c r="C13" i="1"/>
  <c r="C9" i="1"/>
  <c r="N10" i="1"/>
  <c r="N11" i="1"/>
  <c r="N12" i="1"/>
  <c r="N13" i="1"/>
  <c r="N9" i="1"/>
  <c r="H62" i="1"/>
  <c r="H63" i="1"/>
  <c r="H64" i="1"/>
  <c r="H65" i="1"/>
  <c r="H61" i="1"/>
  <c r="C62" i="1"/>
  <c r="C63" i="1"/>
  <c r="C64" i="1"/>
  <c r="C65" i="1"/>
  <c r="C61" i="1"/>
  <c r="H51" i="1"/>
  <c r="H52" i="1"/>
  <c r="H53" i="1"/>
  <c r="H54" i="1"/>
  <c r="H50" i="1"/>
  <c r="C51" i="1"/>
  <c r="C52" i="1"/>
  <c r="C53" i="1"/>
  <c r="C54" i="1"/>
  <c r="C50" i="1"/>
  <c r="H39" i="1"/>
  <c r="H40" i="1"/>
  <c r="H41" i="1"/>
  <c r="H42" i="1"/>
  <c r="H38" i="1"/>
  <c r="C39" i="1"/>
  <c r="C40" i="1"/>
  <c r="C41" i="1"/>
  <c r="C42" i="1"/>
  <c r="C38" i="1"/>
  <c r="H18" i="1"/>
  <c r="H19" i="1"/>
  <c r="H20" i="1"/>
  <c r="H21" i="1"/>
  <c r="H17" i="1"/>
  <c r="C18" i="1"/>
  <c r="C19" i="1"/>
  <c r="C20" i="1"/>
  <c r="C21" i="1"/>
  <c r="C17" i="1"/>
  <c r="C8" i="1"/>
  <c r="H4" i="1"/>
  <c r="C5" i="1"/>
  <c r="F6" i="1"/>
  <c r="E5" i="1"/>
  <c r="E6" i="1"/>
  <c r="D8" i="1"/>
  <c r="K4" i="1"/>
  <c r="J4" i="1"/>
  <c r="I4" i="1"/>
  <c r="F8" i="1"/>
  <c r="E8" i="1"/>
  <c r="D9" i="1"/>
  <c r="E9" i="1" s="1"/>
  <c r="H28" i="1"/>
  <c r="C28" i="1"/>
  <c r="B21" i="2"/>
  <c r="B29" i="2" s="1"/>
  <c r="B22" i="2"/>
  <c r="B30" i="2" s="1"/>
  <c r="B38" i="2" s="1"/>
  <c r="H30" i="1" s="1"/>
  <c r="B23" i="2"/>
  <c r="B31" i="2" s="1"/>
  <c r="B24" i="2"/>
  <c r="B32" i="2" s="1"/>
  <c r="B40" i="2" s="1"/>
  <c r="H32" i="1" s="1"/>
  <c r="B25" i="2"/>
  <c r="B33" i="2" s="1"/>
  <c r="D20" i="2"/>
  <c r="C28" i="2" s="1"/>
  <c r="E20" i="2"/>
  <c r="D28" i="2" s="1"/>
  <c r="F20" i="2"/>
  <c r="E28" i="2" s="1"/>
  <c r="E36" i="2" s="1"/>
  <c r="K28" i="1" s="1"/>
  <c r="B20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28" i="1" l="1"/>
  <c r="C36" i="2"/>
  <c r="I28" i="1" s="1"/>
  <c r="C33" i="1"/>
  <c r="B41" i="2"/>
  <c r="H33" i="1" s="1"/>
  <c r="C30" i="1"/>
  <c r="B37" i="2"/>
  <c r="H29" i="1" s="1"/>
  <c r="C29" i="1"/>
  <c r="E28" i="1"/>
  <c r="D36" i="2"/>
  <c r="J28" i="1" s="1"/>
  <c r="B39" i="2"/>
  <c r="H31" i="1" s="1"/>
  <c r="C31" i="1"/>
  <c r="F28" i="1"/>
  <c r="C32" i="1"/>
  <c r="I9" i="1"/>
  <c r="D38" i="1" s="1"/>
  <c r="F5" i="1"/>
  <c r="E10" i="1"/>
  <c r="F9" i="1"/>
  <c r="J9" i="1"/>
  <c r="D10" i="1"/>
  <c r="I38" i="1" l="1"/>
  <c r="D21" i="2"/>
  <c r="C3" i="2" s="1"/>
  <c r="I10" i="1"/>
  <c r="D11" i="1"/>
  <c r="J10" i="1"/>
  <c r="E11" i="1"/>
  <c r="F10" i="1"/>
  <c r="K9" i="1"/>
  <c r="J38" i="1"/>
  <c r="E38" i="1"/>
  <c r="E21" i="2"/>
  <c r="C4" i="2" l="1"/>
  <c r="F21" i="2"/>
  <c r="K38" i="1"/>
  <c r="F38" i="1"/>
  <c r="J11" i="1"/>
  <c r="E12" i="1"/>
  <c r="D12" i="1"/>
  <c r="I11" i="1"/>
  <c r="K10" i="1"/>
  <c r="F11" i="1"/>
  <c r="E18" i="1"/>
  <c r="E39" i="1"/>
  <c r="J39" i="1"/>
  <c r="E22" i="2"/>
  <c r="C7" i="2" s="1"/>
  <c r="J18" i="1"/>
  <c r="D22" i="2"/>
  <c r="D39" i="1"/>
  <c r="I39" i="1"/>
  <c r="D18" i="1"/>
  <c r="I18" i="1"/>
  <c r="C6" i="2" l="1"/>
  <c r="G21" i="2"/>
  <c r="E37" i="2" s="1"/>
  <c r="F12" i="1"/>
  <c r="K11" i="1"/>
  <c r="D23" i="2"/>
  <c r="D19" i="1"/>
  <c r="I40" i="1"/>
  <c r="I19" i="1"/>
  <c r="D40" i="1"/>
  <c r="C22" i="2"/>
  <c r="C38" i="2" s="1"/>
  <c r="C5" i="2"/>
  <c r="H21" i="2"/>
  <c r="F22" i="2"/>
  <c r="K39" i="1"/>
  <c r="K18" i="1"/>
  <c r="F39" i="1"/>
  <c r="F18" i="1"/>
  <c r="D13" i="1"/>
  <c r="I13" i="1" s="1"/>
  <c r="I12" i="1"/>
  <c r="E19" i="1"/>
  <c r="E40" i="1"/>
  <c r="J40" i="1"/>
  <c r="J19" i="1"/>
  <c r="E23" i="2"/>
  <c r="C10" i="2" s="1"/>
  <c r="D37" i="2"/>
  <c r="E13" i="1"/>
  <c r="J13" i="1" s="1"/>
  <c r="J12" i="1"/>
  <c r="J21" i="1" l="1"/>
  <c r="E25" i="2"/>
  <c r="C16" i="2" s="1"/>
  <c r="E42" i="1"/>
  <c r="J42" i="1"/>
  <c r="E21" i="1"/>
  <c r="D41" i="1"/>
  <c r="D24" i="2"/>
  <c r="I20" i="1"/>
  <c r="I41" i="1"/>
  <c r="D20" i="1"/>
  <c r="C23" i="2"/>
  <c r="C39" i="2" s="1"/>
  <c r="C8" i="2"/>
  <c r="I30" i="1"/>
  <c r="E6" i="2"/>
  <c r="E5" i="2"/>
  <c r="K29" i="1"/>
  <c r="H22" i="2"/>
  <c r="E24" i="2"/>
  <c r="E41" i="1"/>
  <c r="J20" i="1"/>
  <c r="E20" i="1"/>
  <c r="J41" i="1"/>
  <c r="E4" i="2"/>
  <c r="J29" i="1"/>
  <c r="I21" i="1"/>
  <c r="I42" i="1"/>
  <c r="D25" i="2"/>
  <c r="D42" i="1"/>
  <c r="D21" i="1"/>
  <c r="C9" i="2"/>
  <c r="G22" i="2"/>
  <c r="E38" i="2" s="1"/>
  <c r="F13" i="1"/>
  <c r="K13" i="1" s="1"/>
  <c r="K12" i="1"/>
  <c r="D38" i="2"/>
  <c r="F40" i="1"/>
  <c r="K19" i="1"/>
  <c r="F19" i="1"/>
  <c r="K40" i="1"/>
  <c r="F23" i="2"/>
  <c r="D39" i="2" s="1"/>
  <c r="E43" i="1" l="1"/>
  <c r="J43" i="1"/>
  <c r="D43" i="1"/>
  <c r="D44" i="1" s="1"/>
  <c r="E7" i="2"/>
  <c r="J30" i="1"/>
  <c r="J31" i="1"/>
  <c r="E10" i="2"/>
  <c r="E61" i="1"/>
  <c r="J61" i="1"/>
  <c r="C24" i="2"/>
  <c r="C40" i="2" s="1"/>
  <c r="C11" i="2"/>
  <c r="F20" i="1"/>
  <c r="K20" i="1"/>
  <c r="F41" i="1"/>
  <c r="K41" i="1"/>
  <c r="F24" i="2"/>
  <c r="H24" i="2" s="1"/>
  <c r="H23" i="2"/>
  <c r="E8" i="2"/>
  <c r="K30" i="1"/>
  <c r="G24" i="2"/>
  <c r="C15" i="2"/>
  <c r="K61" i="1"/>
  <c r="F61" i="1"/>
  <c r="I31" i="1"/>
  <c r="E9" i="2"/>
  <c r="I43" i="1"/>
  <c r="I44" i="1" s="1"/>
  <c r="F42" i="1"/>
  <c r="F21" i="1"/>
  <c r="E23" i="1" s="1"/>
  <c r="K42" i="1"/>
  <c r="K21" i="1"/>
  <c r="F25" i="2"/>
  <c r="C17" i="2" s="1"/>
  <c r="C13" i="2"/>
  <c r="I62" i="1"/>
  <c r="D62" i="1"/>
  <c r="G23" i="2"/>
  <c r="E39" i="2" s="1"/>
  <c r="C12" i="2"/>
  <c r="J23" i="1" l="1"/>
  <c r="E40" i="2"/>
  <c r="K32" i="1" s="1"/>
  <c r="D40" i="2"/>
  <c r="E13" i="2" s="1"/>
  <c r="J22" i="1"/>
  <c r="H25" i="2"/>
  <c r="J22" i="2" s="1"/>
  <c r="D27" i="1" s="1"/>
  <c r="K43" i="1"/>
  <c r="F62" i="1"/>
  <c r="K62" i="1"/>
  <c r="K31" i="1"/>
  <c r="E11" i="2"/>
  <c r="E63" i="1"/>
  <c r="J63" i="1"/>
  <c r="E22" i="1"/>
  <c r="E24" i="1" s="1"/>
  <c r="D41" i="2"/>
  <c r="C25" i="2"/>
  <c r="C41" i="2" s="1"/>
  <c r="C14" i="2"/>
  <c r="F43" i="1"/>
  <c r="I32" i="1"/>
  <c r="E12" i="2"/>
  <c r="E62" i="1"/>
  <c r="J62" i="1"/>
  <c r="D63" i="1"/>
  <c r="I63" i="1"/>
  <c r="J24" i="1" l="1"/>
  <c r="J32" i="1"/>
  <c r="J64" i="1" s="1"/>
  <c r="E14" i="2"/>
  <c r="J21" i="2"/>
  <c r="F44" i="1" s="1"/>
  <c r="I64" i="1"/>
  <c r="D64" i="1"/>
  <c r="J33" i="1"/>
  <c r="E16" i="2"/>
  <c r="K63" i="1"/>
  <c r="F63" i="1"/>
  <c r="E15" i="2"/>
  <c r="I33" i="1"/>
  <c r="F64" i="1"/>
  <c r="K64" i="1"/>
  <c r="E64" i="1" l="1"/>
  <c r="K44" i="1"/>
  <c r="D30" i="2"/>
  <c r="E30" i="1" s="1"/>
  <c r="F27" i="1"/>
  <c r="D32" i="2"/>
  <c r="D33" i="2"/>
  <c r="D29" i="2"/>
  <c r="E44" i="1"/>
  <c r="F45" i="1" s="1"/>
  <c r="D31" i="2"/>
  <c r="J44" i="1"/>
  <c r="K66" i="1"/>
  <c r="D65" i="1"/>
  <c r="D66" i="1" s="1"/>
  <c r="I65" i="1"/>
  <c r="I66" i="1" s="1"/>
  <c r="F66" i="1"/>
  <c r="J65" i="1"/>
  <c r="J66" i="1" s="1"/>
  <c r="E65" i="1"/>
  <c r="E66" i="1" l="1"/>
  <c r="E67" i="1" s="1"/>
  <c r="E51" i="1"/>
  <c r="J51" i="1"/>
  <c r="J67" i="1"/>
  <c r="C30" i="2"/>
  <c r="E30" i="2"/>
  <c r="D7" i="2"/>
  <c r="I45" i="1"/>
  <c r="J45" i="1"/>
  <c r="E31" i="2"/>
  <c r="C31" i="2"/>
  <c r="E31" i="1"/>
  <c r="K45" i="1"/>
  <c r="D45" i="1"/>
  <c r="E45" i="1"/>
  <c r="D4" i="2"/>
  <c r="C29" i="2"/>
  <c r="E29" i="1"/>
  <c r="E29" i="2"/>
  <c r="D10" i="2"/>
  <c r="E33" i="1"/>
  <c r="D16" i="2"/>
  <c r="C33" i="2"/>
  <c r="E33" i="2"/>
  <c r="C32" i="2"/>
  <c r="D13" i="2"/>
  <c r="E32" i="1"/>
  <c r="E32" i="2"/>
  <c r="I67" i="1"/>
  <c r="K67" i="1"/>
  <c r="P9" i="1" l="1"/>
  <c r="P10" i="1"/>
  <c r="D67" i="1"/>
  <c r="F67" i="1"/>
  <c r="F30" i="1"/>
  <c r="D8" i="2"/>
  <c r="D6" i="2"/>
  <c r="D30" i="1"/>
  <c r="F31" i="1"/>
  <c r="D11" i="2"/>
  <c r="D17" i="2"/>
  <c r="F33" i="1"/>
  <c r="D33" i="1"/>
  <c r="D15" i="2"/>
  <c r="D12" i="2"/>
  <c r="D32" i="1"/>
  <c r="D3" i="2"/>
  <c r="D29" i="1"/>
  <c r="E54" i="1"/>
  <c r="J54" i="1"/>
  <c r="F32" i="1"/>
  <c r="D14" i="2"/>
  <c r="J53" i="1"/>
  <c r="E53" i="1"/>
  <c r="D5" i="2"/>
  <c r="F29" i="1"/>
  <c r="J52" i="1"/>
  <c r="E52" i="1"/>
  <c r="E50" i="1"/>
  <c r="J50" i="1"/>
  <c r="D31" i="1"/>
  <c r="D9" i="2"/>
  <c r="Q10" i="1" l="1"/>
  <c r="O9" i="1"/>
  <c r="O10" i="1"/>
  <c r="Q9" i="1"/>
  <c r="I51" i="1"/>
  <c r="D51" i="1"/>
  <c r="K51" i="1"/>
  <c r="F51" i="1"/>
  <c r="D52" i="1"/>
  <c r="I52" i="1"/>
  <c r="J55" i="1"/>
  <c r="F50" i="1"/>
  <c r="K50" i="1"/>
  <c r="I50" i="1"/>
  <c r="D50" i="1"/>
  <c r="F52" i="1"/>
  <c r="K52" i="1"/>
  <c r="D53" i="1"/>
  <c r="I53" i="1"/>
  <c r="E55" i="1"/>
  <c r="F53" i="1"/>
  <c r="K53" i="1"/>
  <c r="I54" i="1"/>
  <c r="D54" i="1"/>
  <c r="F54" i="1"/>
  <c r="K54" i="1"/>
  <c r="D55" i="1" l="1"/>
  <c r="I55" i="1"/>
  <c r="K55" i="1"/>
  <c r="F55" i="1"/>
  <c r="F56" i="1" l="1"/>
  <c r="I56" i="1"/>
  <c r="D56" i="1"/>
  <c r="J56" i="1"/>
  <c r="E56" i="1"/>
  <c r="K56" i="1"/>
  <c r="E45" i="2" l="1"/>
  <c r="F5" i="2" s="1"/>
  <c r="Q11" i="1"/>
  <c r="E47" i="2" s="1"/>
  <c r="F11" i="2" s="1"/>
  <c r="Q12" i="1"/>
  <c r="E48" i="2" s="1"/>
  <c r="F14" i="2" s="1"/>
  <c r="E46" i="2"/>
  <c r="F8" i="2" s="1"/>
  <c r="Q13" i="1"/>
  <c r="E49" i="2" s="1"/>
  <c r="P11" i="1"/>
  <c r="D47" i="2" s="1"/>
  <c r="F10" i="2" s="1"/>
  <c r="P13" i="1"/>
  <c r="D49" i="2" s="1"/>
  <c r="F16" i="2" s="1"/>
  <c r="D46" i="2"/>
  <c r="F7" i="2" s="1"/>
  <c r="D45" i="2"/>
  <c r="F4" i="2" s="1"/>
  <c r="P12" i="1"/>
  <c r="D48" i="2" s="1"/>
  <c r="F13" i="2" s="1"/>
  <c r="C46" i="2"/>
  <c r="F6" i="2" s="1"/>
  <c r="O11" i="1"/>
  <c r="C47" i="2" s="1"/>
  <c r="F9" i="2" s="1"/>
  <c r="O12" i="1"/>
  <c r="C48" i="2" s="1"/>
  <c r="F12" i="2" s="1"/>
  <c r="O13" i="1"/>
  <c r="C49" i="2" s="1"/>
  <c r="F15" i="2" s="1"/>
  <c r="C45" i="2"/>
</calcChain>
</file>

<file path=xl/sharedStrings.xml><?xml version="1.0" encoding="utf-8"?>
<sst xmlns="http://schemas.openxmlformats.org/spreadsheetml/2006/main" count="98" uniqueCount="48">
  <si>
    <t>3º Cuatrimestre</t>
  </si>
  <si>
    <t>1º Cuatrimestre</t>
  </si>
  <si>
    <t>2º Cuatrimestre</t>
  </si>
  <si>
    <t>serie cronológica</t>
  </si>
  <si>
    <t>diferencias estacionales</t>
  </si>
  <si>
    <t>cocientes estacionales</t>
  </si>
  <si>
    <t>fecha</t>
  </si>
  <si>
    <t>recta tendencia</t>
  </si>
  <si>
    <t>media</t>
  </si>
  <si>
    <t>=pendiente</t>
  </si>
  <si>
    <t>=ordenada origen</t>
  </si>
  <si>
    <t>X</t>
  </si>
  <si>
    <t>Y</t>
  </si>
  <si>
    <t>media(d):</t>
  </si>
  <si>
    <t>desviación típica(d):</t>
  </si>
  <si>
    <t>CV(d):</t>
  </si>
  <si>
    <t>media(k):</t>
  </si>
  <si>
    <t>desviación típica(k):</t>
  </si>
  <si>
    <t>CV(k):</t>
  </si>
  <si>
    <t>a=</t>
  </si>
  <si>
    <t>b=</t>
  </si>
  <si>
    <t>RECTA DE TENDENCIA:</t>
  </si>
  <si>
    <t>1º CUATRIM. NEXT</t>
  </si>
  <si>
    <t>3º CUATRIM.ANT.</t>
  </si>
  <si>
    <t xml:space="preserve">RECTA DE TENDENCIA </t>
  </si>
  <si>
    <t>medias móviles</t>
  </si>
  <si>
    <t>MEDIAS MÓVILES</t>
  </si>
  <si>
    <t>MÉTODO DE LAS MEDIAS SIMPLES. MODELO ADITIVO.</t>
  </si>
  <si>
    <t>MÉTODO DE LAS MEDIAS SIMPLES. MODELO MULTIPLICATIVO.</t>
  </si>
  <si>
    <t>E(t) aditivo</t>
  </si>
  <si>
    <t>E(t) multipl.</t>
  </si>
  <si>
    <t>MÉTODO DE LA DIFERENCIA A LA TENDENCIA</t>
  </si>
  <si>
    <t>MÉTODO DE LA RAZÓN A LA TENDENCIA</t>
  </si>
  <si>
    <t>med. correg.</t>
  </si>
  <si>
    <t>E(t)</t>
  </si>
  <si>
    <t>MÉTODO DE LA DIFERENCIA A LAS MEDIAS MÓVILES</t>
  </si>
  <si>
    <t>MÉTODO DE LA RAZÓN A LAS MEDIAS MÓVILES</t>
  </si>
  <si>
    <t>Y(t)-τ(t)</t>
  </si>
  <si>
    <t>Y(t)/τ(t)</t>
  </si>
  <si>
    <t>SERIE CRONOLÓGICA</t>
  </si>
  <si>
    <t>VARIACIÓN ESTACIONAL</t>
  </si>
  <si>
    <t>TENDENCIA SECULAR</t>
  </si>
  <si>
    <t>τ(t)=a+bt</t>
  </si>
  <si>
    <t>SERIE CRONOLÓGICA ESTIMADA</t>
  </si>
  <si>
    <t>Y(t)</t>
  </si>
  <si>
    <t xml:space="preserve">Y(t)     </t>
  </si>
  <si>
    <t>ESTIMACIÓN DE LOS VALORES DE LA SERIE CRONOLÓGICA USANDO:</t>
  </si>
  <si>
    <t>serie estimada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</si>
</sst>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2"/>
      <color theme="1"/>
      <name val="Symbol"/>
      <family val="1"/>
      <charset val="2"/>
    </font>
    <font>
      <b/>
      <i/>
      <sz val="11"/>
      <color theme="1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sz val="26"/>
      <color theme="1"/>
      <name val="Symbol"/>
      <family val="1"/>
      <charset val="2"/>
    </font>
    <font>
      <b/>
      <i/>
      <sz val="22"/>
      <color theme="1"/>
      <name val="Times New Roman"/>
      <family val="1"/>
    </font>
    <font>
      <b/>
      <i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24"/>
      <color theme="1"/>
      <name val="Calibri"/>
      <family val="2"/>
    </font>
    <font>
      <sz val="11"/>
      <color theme="6" tint="-0.499984740745262"/>
      <name val="Calibri"/>
      <family val="2"/>
      <scheme val="minor"/>
    </font>
    <font>
      <b/>
      <i/>
      <sz val="14"/>
      <color theme="6" tint="-0.499984740745262"/>
      <name val="Times New Roman"/>
      <family val="1"/>
    </font>
    <font>
      <b/>
      <sz val="11"/>
      <color theme="6" tint="-0.499984740745262"/>
      <name val="Calibri"/>
      <family val="2"/>
      <scheme val="minor"/>
    </font>
    <font>
      <b/>
      <i/>
      <sz val="20"/>
      <color theme="1"/>
      <name val="Times New Roman"/>
      <family val="1"/>
    </font>
    <font>
      <i/>
      <sz val="16"/>
      <color theme="1"/>
      <name val="Times New Roman"/>
      <family val="1"/>
    </font>
    <font>
      <sz val="8"/>
      <color rgb="FF000000"/>
      <name val="Tahoma"/>
      <family val="2"/>
    </font>
    <font>
      <b/>
      <sz val="14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i/>
      <sz val="14"/>
      <color theme="6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3" tint="0.39994506668294322"/>
      </left>
      <right style="thin">
        <color indexed="64"/>
      </right>
      <top style="medium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0.39994506668294322"/>
      </top>
      <bottom style="thin">
        <color indexed="64"/>
      </bottom>
      <diagonal/>
    </border>
    <border>
      <left style="thin">
        <color indexed="64"/>
      </left>
      <right style="medium">
        <color theme="3" tint="0.39994506668294322"/>
      </right>
      <top style="medium">
        <color theme="3" tint="0.39994506668294322"/>
      </top>
      <bottom style="thin">
        <color indexed="64"/>
      </bottom>
      <diagonal/>
    </border>
    <border>
      <left style="medium">
        <color theme="3" tint="0.399945066682943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0.39994506668294322"/>
      </right>
      <top style="thin">
        <color indexed="64"/>
      </top>
      <bottom style="thin">
        <color indexed="64"/>
      </bottom>
      <diagonal/>
    </border>
    <border>
      <left style="medium">
        <color theme="3" tint="0.39994506668294322"/>
      </left>
      <right style="thin">
        <color indexed="64"/>
      </right>
      <top style="thin">
        <color indexed="64"/>
      </top>
      <bottom style="medium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0.39994506668294322"/>
      </bottom>
      <diagonal/>
    </border>
    <border>
      <left style="thin">
        <color indexed="64"/>
      </left>
      <right style="medium">
        <color theme="3" tint="0.39994506668294322"/>
      </right>
      <top style="thin">
        <color indexed="64"/>
      </top>
      <bottom style="medium">
        <color theme="3" tint="0.39994506668294322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theme="6" tint="-0.499984740745262"/>
      </left>
      <right style="thin">
        <color indexed="64"/>
      </right>
      <top style="medium">
        <color theme="6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6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6" tint="-0.499984740745262"/>
      </right>
      <top style="medium">
        <color theme="6" tint="-0.499984740745262"/>
      </top>
      <bottom style="thin">
        <color indexed="64"/>
      </bottom>
      <diagonal/>
    </border>
    <border>
      <left style="medium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6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6" tint="-0.499984740745262"/>
      </left>
      <right style="thin">
        <color indexed="64"/>
      </right>
      <top style="thin">
        <color indexed="64"/>
      </top>
      <bottom style="medium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6" tint="-0.499984740745262"/>
      </bottom>
      <diagonal/>
    </border>
    <border>
      <left style="thin">
        <color indexed="64"/>
      </left>
      <right style="medium">
        <color theme="6" tint="-0.499984740745262"/>
      </right>
      <top style="thin">
        <color indexed="64"/>
      </top>
      <bottom style="medium">
        <color theme="6" tint="-0.49998474074526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0" fillId="0" borderId="0" xfId="0" quotePrefix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5" fillId="0" borderId="39" xfId="0" applyFont="1" applyBorder="1" applyAlignment="1" applyProtection="1">
      <alignment horizontal="center" vertical="center" wrapText="1"/>
      <protection hidden="1"/>
    </xf>
    <xf numFmtId="0" fontId="5" fillId="0" borderId="40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42" xfId="0" applyFont="1" applyBorder="1" applyAlignment="1" applyProtection="1">
      <alignment horizontal="center"/>
      <protection hidden="1"/>
    </xf>
    <xf numFmtId="0" fontId="5" fillId="0" borderId="43" xfId="0" applyFont="1" applyBorder="1" applyAlignment="1" applyProtection="1">
      <alignment horizontal="center"/>
      <protection hidden="1"/>
    </xf>
    <xf numFmtId="0" fontId="5" fillId="0" borderId="44" xfId="0" applyFont="1" applyBorder="1" applyAlignment="1" applyProtection="1">
      <alignment horizontal="center"/>
      <protection hidden="1"/>
    </xf>
    <xf numFmtId="0" fontId="5" fillId="0" borderId="45" xfId="0" applyFont="1" applyBorder="1" applyAlignment="1" applyProtection="1">
      <alignment horizontal="center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7" fillId="0" borderId="47" xfId="0" applyFont="1" applyBorder="1" applyAlignment="1" applyProtection="1">
      <alignment horizontal="center" vertical="center" wrapText="1"/>
      <protection hidden="1"/>
    </xf>
    <xf numFmtId="0" fontId="7" fillId="0" borderId="48" xfId="0" applyFont="1" applyBorder="1" applyAlignment="1" applyProtection="1">
      <alignment horizontal="center" vertical="center" wrapText="1"/>
      <protection hidden="1"/>
    </xf>
    <xf numFmtId="0" fontId="7" fillId="0" borderId="49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50" xfId="0" applyFont="1" applyBorder="1" applyAlignment="1" applyProtection="1">
      <alignment horizontal="center"/>
      <protection hidden="1"/>
    </xf>
    <xf numFmtId="0" fontId="7" fillId="0" borderId="51" xfId="0" applyFont="1" applyBorder="1" applyAlignment="1" applyProtection="1">
      <alignment horizontal="center"/>
      <protection hidden="1"/>
    </xf>
    <xf numFmtId="0" fontId="7" fillId="0" borderId="52" xfId="0" applyFont="1" applyBorder="1" applyAlignment="1" applyProtection="1">
      <alignment horizontal="center"/>
      <protection hidden="1"/>
    </xf>
    <xf numFmtId="0" fontId="7" fillId="0" borderId="53" xfId="0" applyFont="1" applyBorder="1" applyAlignment="1" applyProtection="1">
      <alignment horizontal="center"/>
      <protection hidden="1"/>
    </xf>
    <xf numFmtId="0" fontId="0" fillId="0" borderId="10" xfId="0" applyBorder="1"/>
    <xf numFmtId="0" fontId="0" fillId="0" borderId="11" xfId="0" quotePrefix="1" applyBorder="1"/>
    <xf numFmtId="0" fontId="0" fillId="0" borderId="12" xfId="0" applyBorder="1"/>
    <xf numFmtId="0" fontId="0" fillId="0" borderId="13" xfId="0" quotePrefix="1" applyBorder="1"/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20" xfId="0" applyBorder="1" applyProtection="1"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20" xfId="0" quotePrefix="1" applyBorder="1" applyAlignment="1" applyProtection="1">
      <alignment horizontal="center"/>
      <protection hidden="1"/>
    </xf>
    <xf numFmtId="0" fontId="0" fillId="0" borderId="1" xfId="0" applyBorder="1" applyAlignment="1">
      <alignment horizontal="right"/>
    </xf>
    <xf numFmtId="0" fontId="0" fillId="0" borderId="0" xfId="0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12" fillId="0" borderId="23" xfId="0" applyFont="1" applyBorder="1" applyAlignment="1" applyProtection="1">
      <alignment horizontal="right" vertical="center"/>
      <protection hidden="1"/>
    </xf>
    <xf numFmtId="0" fontId="0" fillId="0" borderId="24" xfId="0" applyBorder="1" applyAlignment="1" applyProtection="1">
      <alignment horizontal="left" vertical="center"/>
      <protection hidden="1"/>
    </xf>
    <xf numFmtId="0" fontId="0" fillId="0" borderId="25" xfId="0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0" fillId="0" borderId="54" xfId="0" applyBorder="1" applyProtection="1">
      <protection hidden="1"/>
    </xf>
    <xf numFmtId="0" fontId="0" fillId="0" borderId="55" xfId="0" applyBorder="1" applyProtection="1">
      <protection hidden="1"/>
    </xf>
    <xf numFmtId="0" fontId="12" fillId="0" borderId="56" xfId="0" applyFont="1" applyBorder="1" applyAlignment="1" applyProtection="1">
      <alignment horizontal="right"/>
      <protection hidden="1"/>
    </xf>
    <xf numFmtId="0" fontId="12" fillId="0" borderId="57" xfId="0" applyFont="1" applyBorder="1" applyAlignment="1" applyProtection="1">
      <alignment horizontal="right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11" fillId="0" borderId="57" xfId="0" applyFont="1" applyBorder="1" applyAlignment="1" applyProtection="1">
      <alignment horizontal="left"/>
      <protection hidden="1"/>
    </xf>
    <xf numFmtId="0" fontId="11" fillId="0" borderId="58" xfId="0" applyFont="1" applyBorder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2" fontId="14" fillId="0" borderId="1" xfId="0" applyNumberFormat="1" applyFont="1" applyBorder="1" applyAlignment="1" applyProtection="1">
      <alignment horizontal="center"/>
      <protection hidden="1"/>
    </xf>
    <xf numFmtId="0" fontId="15" fillId="0" borderId="59" xfId="0" applyFont="1" applyBorder="1" applyAlignment="1" applyProtection="1">
      <alignment horizontal="center" vertical="center" wrapText="1"/>
      <protection hidden="1"/>
    </xf>
    <xf numFmtId="0" fontId="16" fillId="0" borderId="60" xfId="0" applyFont="1" applyBorder="1" applyAlignment="1" applyProtection="1">
      <alignment horizontal="center" vertical="center"/>
      <protection hidden="1"/>
    </xf>
    <xf numFmtId="0" fontId="16" fillId="0" borderId="61" xfId="0" applyFont="1" applyBorder="1" applyAlignment="1" applyProtection="1">
      <alignment horizontal="center" vertical="center"/>
      <protection hidden="1"/>
    </xf>
    <xf numFmtId="0" fontId="16" fillId="0" borderId="62" xfId="0" applyFont="1" applyBorder="1" applyAlignment="1" applyProtection="1">
      <alignment horizontal="center"/>
      <protection hidden="1"/>
    </xf>
    <xf numFmtId="0" fontId="16" fillId="0" borderId="64" xfId="0" applyFont="1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right" vertical="center" wrapText="1"/>
      <protection hidden="1"/>
    </xf>
    <xf numFmtId="0" fontId="17" fillId="0" borderId="23" xfId="0" applyFont="1" applyBorder="1" applyAlignment="1" applyProtection="1">
      <alignment horizontal="right" vertical="center" wrapText="1"/>
      <protection hidden="1"/>
    </xf>
    <xf numFmtId="0" fontId="17" fillId="0" borderId="32" xfId="0" applyFont="1" applyBorder="1" applyAlignment="1" applyProtection="1">
      <alignment horizontal="right" vertical="center" wrapText="1"/>
      <protection hidden="1"/>
    </xf>
    <xf numFmtId="0" fontId="17" fillId="0" borderId="0" xfId="0" applyFont="1" applyAlignment="1" applyProtection="1">
      <alignment horizontal="righ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center" vertical="top"/>
      <protection hidden="1"/>
    </xf>
    <xf numFmtId="0" fontId="9" fillId="0" borderId="22" xfId="0" applyFont="1" applyBorder="1" applyAlignment="1" applyProtection="1">
      <alignment horizontal="center" vertical="top"/>
      <protection hidden="1"/>
    </xf>
    <xf numFmtId="0" fontId="1" fillId="0" borderId="33" xfId="0" applyFont="1" applyBorder="1" applyAlignment="1" applyProtection="1">
      <alignment horizontal="center"/>
      <protection hidden="1"/>
    </xf>
    <xf numFmtId="0" fontId="1" fillId="0" borderId="34" xfId="0" applyFont="1" applyBorder="1" applyAlignment="1" applyProtection="1">
      <alignment horizontal="center"/>
      <protection hidden="1"/>
    </xf>
    <xf numFmtId="0" fontId="1" fillId="0" borderId="35" xfId="0" applyFont="1" applyBorder="1" applyAlignment="1" applyProtection="1">
      <alignment horizontal="center"/>
      <protection hidden="1"/>
    </xf>
    <xf numFmtId="0" fontId="18" fillId="0" borderId="67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68" xfId="0" applyBorder="1" applyProtection="1">
      <protection hidden="1"/>
    </xf>
    <xf numFmtId="0" fontId="0" fillId="0" borderId="68" xfId="0" applyBorder="1" applyAlignment="1" applyProtection="1">
      <alignment horizontal="center"/>
      <protection hidden="1"/>
    </xf>
    <xf numFmtId="0" fontId="3" fillId="0" borderId="68" xfId="0" applyFont="1" applyBorder="1" applyAlignment="1" applyProtection="1">
      <alignment horizontal="center"/>
      <protection hidden="1"/>
    </xf>
    <xf numFmtId="0" fontId="1" fillId="0" borderId="68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center" vertical="center"/>
      <protection hidden="1"/>
    </xf>
    <xf numFmtId="0" fontId="0" fillId="0" borderId="69" xfId="0" applyBorder="1" applyProtection="1">
      <protection hidden="1"/>
    </xf>
    <xf numFmtId="0" fontId="0" fillId="0" borderId="68" xfId="0" applyBorder="1" applyAlignment="1" applyProtection="1">
      <alignment horizontal="right" vertical="center"/>
      <protection hidden="1"/>
    </xf>
    <xf numFmtId="164" fontId="0" fillId="0" borderId="68" xfId="0" applyNumberForma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70" xfId="0" applyBorder="1" applyProtection="1">
      <protection hidden="1"/>
    </xf>
    <xf numFmtId="0" fontId="21" fillId="0" borderId="0" xfId="0" applyFont="1" applyProtection="1">
      <protection hidden="1"/>
    </xf>
    <xf numFmtId="0" fontId="22" fillId="0" borderId="60" xfId="0" applyFont="1" applyBorder="1" applyAlignment="1" applyProtection="1">
      <alignment horizontal="center" vertical="center"/>
      <protection hidden="1"/>
    </xf>
    <xf numFmtId="0" fontId="22" fillId="0" borderId="61" xfId="0" applyFont="1" applyBorder="1" applyAlignment="1" applyProtection="1">
      <alignment horizontal="center" vertical="center"/>
      <protection hidden="1"/>
    </xf>
    <xf numFmtId="0" fontId="22" fillId="0" borderId="62" xfId="0" applyFont="1" applyBorder="1" applyAlignment="1" applyProtection="1">
      <alignment horizontal="center"/>
      <protection hidden="1"/>
    </xf>
    <xf numFmtId="2" fontId="21" fillId="0" borderId="1" xfId="0" applyNumberFormat="1" applyFont="1" applyBorder="1" applyAlignment="1" applyProtection="1">
      <alignment horizontal="center"/>
      <protection hidden="1"/>
    </xf>
    <xf numFmtId="2" fontId="21" fillId="0" borderId="63" xfId="0" applyNumberFormat="1" applyFont="1" applyBorder="1" applyAlignment="1" applyProtection="1">
      <alignment horizontal="center"/>
      <protection hidden="1"/>
    </xf>
    <xf numFmtId="0" fontId="22" fillId="0" borderId="64" xfId="0" applyFont="1" applyBorder="1" applyAlignment="1" applyProtection="1">
      <alignment horizontal="center"/>
      <protection hidden="1"/>
    </xf>
    <xf numFmtId="2" fontId="21" fillId="0" borderId="65" xfId="0" applyNumberFormat="1" applyFont="1" applyBorder="1" applyAlignment="1" applyProtection="1">
      <alignment horizontal="center"/>
      <protection hidden="1"/>
    </xf>
    <xf numFmtId="2" fontId="21" fillId="0" borderId="66" xfId="0" applyNumberFormat="1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59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2" fontId="21" fillId="0" borderId="0" xfId="0" applyNumberFormat="1" applyFont="1" applyBorder="1" applyAlignment="1" applyProtection="1">
      <alignment horizontal="center"/>
      <protection hidden="1"/>
    </xf>
    <xf numFmtId="0" fontId="22" fillId="0" borderId="71" xfId="0" applyFont="1" applyBorder="1" applyAlignment="1" applyProtection="1">
      <alignment horizontal="center"/>
      <protection hidden="1"/>
    </xf>
    <xf numFmtId="0" fontId="22" fillId="0" borderId="72" xfId="0" applyFont="1" applyBorder="1" applyAlignment="1" applyProtection="1">
      <alignment horizontal="center"/>
      <protection hidden="1"/>
    </xf>
    <xf numFmtId="0" fontId="22" fillId="0" borderId="73" xfId="0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1.6571675994675818E-2"/>
          <c:w val="0.88337270341207352"/>
          <c:h val="0.69359291392038314"/>
        </c:manualLayout>
      </c:layout>
      <c:lineChart>
        <c:grouping val="standard"/>
        <c:varyColors val="0"/>
        <c:ser>
          <c:idx val="0"/>
          <c:order val="0"/>
          <c:tx>
            <c:strRef>
              <c:f>cálculos!$C$2</c:f>
              <c:strCache>
                <c:ptCount val="1"/>
                <c:pt idx="0">
                  <c:v>serie cronológica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cálculos!$B$3:$B$17</c:f>
              <c:strCache>
                <c:ptCount val="15"/>
                <c:pt idx="0">
                  <c:v>1º Cuatrimestre/2019</c:v>
                </c:pt>
                <c:pt idx="1">
                  <c:v>2º Cuatrimestre/2019</c:v>
                </c:pt>
                <c:pt idx="2">
                  <c:v>3º Cuatrimestre/2019</c:v>
                </c:pt>
                <c:pt idx="3">
                  <c:v>1º Cuatrimestre/2020</c:v>
                </c:pt>
                <c:pt idx="4">
                  <c:v>2º Cuatrimestre/2020</c:v>
                </c:pt>
                <c:pt idx="5">
                  <c:v>3º Cuatrimestre/2020</c:v>
                </c:pt>
                <c:pt idx="6">
                  <c:v>1º Cuatrimestre/2021</c:v>
                </c:pt>
                <c:pt idx="7">
                  <c:v>2º Cuatrimestre/2021</c:v>
                </c:pt>
                <c:pt idx="8">
                  <c:v>3º Cuatrimestre/2021</c:v>
                </c:pt>
                <c:pt idx="9">
                  <c:v>1º Cuatrimestre/2022</c:v>
                </c:pt>
                <c:pt idx="10">
                  <c:v>2º Cuatrimestre/2022</c:v>
                </c:pt>
                <c:pt idx="11">
                  <c:v>3º Cuatrimestre/2022</c:v>
                </c:pt>
                <c:pt idx="12">
                  <c:v>1º Cuatrimestre/2023</c:v>
                </c:pt>
                <c:pt idx="13">
                  <c:v>2º Cuatrimestre/2023</c:v>
                </c:pt>
                <c:pt idx="14">
                  <c:v>3º Cuatrimestre/2023</c:v>
                </c:pt>
              </c:strCache>
            </c:strRef>
          </c:cat>
          <c:val>
            <c:numRef>
              <c:f>cálculos!$C$3:$C$17</c:f>
              <c:numCache>
                <c:formatCode>General</c:formatCode>
                <c:ptCount val="15"/>
                <c:pt idx="0">
                  <c:v>110.00000000000001</c:v>
                </c:pt>
                <c:pt idx="1">
                  <c:v>62.5</c:v>
                </c:pt>
                <c:pt idx="2">
                  <c:v>210</c:v>
                </c:pt>
                <c:pt idx="3">
                  <c:v>192.50000000000003</c:v>
                </c:pt>
                <c:pt idx="4">
                  <c:v>100</c:v>
                </c:pt>
                <c:pt idx="5">
                  <c:v>315</c:v>
                </c:pt>
                <c:pt idx="6">
                  <c:v>275</c:v>
                </c:pt>
                <c:pt idx="7">
                  <c:v>137.5</c:v>
                </c:pt>
                <c:pt idx="8">
                  <c:v>420</c:v>
                </c:pt>
                <c:pt idx="9">
                  <c:v>357.50000000000006</c:v>
                </c:pt>
                <c:pt idx="10">
                  <c:v>175</c:v>
                </c:pt>
                <c:pt idx="11">
                  <c:v>525</c:v>
                </c:pt>
                <c:pt idx="12">
                  <c:v>440.00000000000006</c:v>
                </c:pt>
                <c:pt idx="13">
                  <c:v>212.5</c:v>
                </c:pt>
                <c:pt idx="14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5-416F-B3DD-3A0ACA89E301}"/>
            </c:ext>
          </c:extLst>
        </c:ser>
        <c:ser>
          <c:idx val="1"/>
          <c:order val="1"/>
          <c:tx>
            <c:strRef>
              <c:f>cálculos!$D$2</c:f>
              <c:strCache>
                <c:ptCount val="1"/>
                <c:pt idx="0">
                  <c:v>recta tendencia</c:v>
                </c:pt>
              </c:strCache>
            </c:strRef>
          </c:tx>
          <c:marker>
            <c:symbol val="none"/>
          </c:marker>
          <c:cat>
            <c:strRef>
              <c:f>cálculos!$B$3:$B$17</c:f>
              <c:strCache>
                <c:ptCount val="15"/>
                <c:pt idx="0">
                  <c:v>1º Cuatrimestre/2019</c:v>
                </c:pt>
                <c:pt idx="1">
                  <c:v>2º Cuatrimestre/2019</c:v>
                </c:pt>
                <c:pt idx="2">
                  <c:v>3º Cuatrimestre/2019</c:v>
                </c:pt>
                <c:pt idx="3">
                  <c:v>1º Cuatrimestre/2020</c:v>
                </c:pt>
                <c:pt idx="4">
                  <c:v>2º Cuatrimestre/2020</c:v>
                </c:pt>
                <c:pt idx="5">
                  <c:v>3º Cuatrimestre/2020</c:v>
                </c:pt>
                <c:pt idx="6">
                  <c:v>1º Cuatrimestre/2021</c:v>
                </c:pt>
                <c:pt idx="7">
                  <c:v>2º Cuatrimestre/2021</c:v>
                </c:pt>
                <c:pt idx="8">
                  <c:v>3º Cuatrimestre/2021</c:v>
                </c:pt>
                <c:pt idx="9">
                  <c:v>1º Cuatrimestre/2022</c:v>
                </c:pt>
                <c:pt idx="10">
                  <c:v>2º Cuatrimestre/2022</c:v>
                </c:pt>
                <c:pt idx="11">
                  <c:v>3º Cuatrimestre/2022</c:v>
                </c:pt>
                <c:pt idx="12">
                  <c:v>1º Cuatrimestre/2023</c:v>
                </c:pt>
                <c:pt idx="13">
                  <c:v>2º Cuatrimestre/2023</c:v>
                </c:pt>
                <c:pt idx="14">
                  <c:v>3º Cuatrimestre/2023</c:v>
                </c:pt>
              </c:strCache>
            </c:strRef>
          </c:cat>
          <c:val>
            <c:numRef>
              <c:f>cálculos!$D$3:$D$17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5-416F-B3DD-3A0ACA89E301}"/>
            </c:ext>
          </c:extLst>
        </c:ser>
        <c:ser>
          <c:idx val="2"/>
          <c:order val="2"/>
          <c:tx>
            <c:strRef>
              <c:f>cálculos!$E$2</c:f>
              <c:strCache>
                <c:ptCount val="1"/>
                <c:pt idx="0">
                  <c:v>medias móviles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cat>
            <c:strRef>
              <c:f>cálculos!$B$3:$B$17</c:f>
              <c:strCache>
                <c:ptCount val="15"/>
                <c:pt idx="0">
                  <c:v>1º Cuatrimestre/2019</c:v>
                </c:pt>
                <c:pt idx="1">
                  <c:v>2º Cuatrimestre/2019</c:v>
                </c:pt>
                <c:pt idx="2">
                  <c:v>3º Cuatrimestre/2019</c:v>
                </c:pt>
                <c:pt idx="3">
                  <c:v>1º Cuatrimestre/2020</c:v>
                </c:pt>
                <c:pt idx="4">
                  <c:v>2º Cuatrimestre/2020</c:v>
                </c:pt>
                <c:pt idx="5">
                  <c:v>3º Cuatrimestre/2020</c:v>
                </c:pt>
                <c:pt idx="6">
                  <c:v>1º Cuatrimestre/2021</c:v>
                </c:pt>
                <c:pt idx="7">
                  <c:v>2º Cuatrimestre/2021</c:v>
                </c:pt>
                <c:pt idx="8">
                  <c:v>3º Cuatrimestre/2021</c:v>
                </c:pt>
                <c:pt idx="9">
                  <c:v>1º Cuatrimestre/2022</c:v>
                </c:pt>
                <c:pt idx="10">
                  <c:v>2º Cuatrimestre/2022</c:v>
                </c:pt>
                <c:pt idx="11">
                  <c:v>3º Cuatrimestre/2022</c:v>
                </c:pt>
                <c:pt idx="12">
                  <c:v>1º Cuatrimestre/2023</c:v>
                </c:pt>
                <c:pt idx="13">
                  <c:v>2º Cuatrimestre/2023</c:v>
                </c:pt>
                <c:pt idx="14">
                  <c:v>3º Cuatrimestre/2023</c:v>
                </c:pt>
              </c:strCache>
            </c:strRef>
          </c:cat>
          <c:val>
            <c:numRef>
              <c:f>cálculos!$E$3:$E$17</c:f>
              <c:numCache>
                <c:formatCode>General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5-416F-B3DD-3A0ACA89E301}"/>
            </c:ext>
          </c:extLst>
        </c:ser>
        <c:ser>
          <c:idx val="3"/>
          <c:order val="3"/>
          <c:tx>
            <c:strRef>
              <c:f>cálculos!$F$2</c:f>
              <c:strCache>
                <c:ptCount val="1"/>
                <c:pt idx="0">
                  <c:v>serie estimada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triangle"/>
            <c:size val="7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cálculos!$B$3:$B$17</c:f>
              <c:strCache>
                <c:ptCount val="15"/>
                <c:pt idx="0">
                  <c:v>1º Cuatrimestre/2019</c:v>
                </c:pt>
                <c:pt idx="1">
                  <c:v>2º Cuatrimestre/2019</c:v>
                </c:pt>
                <c:pt idx="2">
                  <c:v>3º Cuatrimestre/2019</c:v>
                </c:pt>
                <c:pt idx="3">
                  <c:v>1º Cuatrimestre/2020</c:v>
                </c:pt>
                <c:pt idx="4">
                  <c:v>2º Cuatrimestre/2020</c:v>
                </c:pt>
                <c:pt idx="5">
                  <c:v>3º Cuatrimestre/2020</c:v>
                </c:pt>
                <c:pt idx="6">
                  <c:v>1º Cuatrimestre/2021</c:v>
                </c:pt>
                <c:pt idx="7">
                  <c:v>2º Cuatrimestre/2021</c:v>
                </c:pt>
                <c:pt idx="8">
                  <c:v>3º Cuatrimestre/2021</c:v>
                </c:pt>
                <c:pt idx="9">
                  <c:v>1º Cuatrimestre/2022</c:v>
                </c:pt>
                <c:pt idx="10">
                  <c:v>2º Cuatrimestre/2022</c:v>
                </c:pt>
                <c:pt idx="11">
                  <c:v>3º Cuatrimestre/2022</c:v>
                </c:pt>
                <c:pt idx="12">
                  <c:v>1º Cuatrimestre/2023</c:v>
                </c:pt>
                <c:pt idx="13">
                  <c:v>2º Cuatrimestre/2023</c:v>
                </c:pt>
                <c:pt idx="14">
                  <c:v>3º Cuatrimestre/2023</c:v>
                </c:pt>
              </c:strCache>
            </c:strRef>
          </c:cat>
          <c:val>
            <c:numRef>
              <c:f>cálculos!$F$3:$F$17</c:f>
              <c:numCache>
                <c:formatCode>General</c:formatCode>
                <c:ptCount val="15"/>
                <c:pt idx="1">
                  <c:v>-12.5</c:v>
                </c:pt>
                <c:pt idx="2">
                  <c:v>270</c:v>
                </c:pt>
                <c:pt idx="3">
                  <c:v>200</c:v>
                </c:pt>
                <c:pt idx="4">
                  <c:v>62.5</c:v>
                </c:pt>
                <c:pt idx="5">
                  <c:v>345</c:v>
                </c:pt>
                <c:pt idx="6">
                  <c:v>275</c:v>
                </c:pt>
                <c:pt idx="7">
                  <c:v>137.5</c:v>
                </c:pt>
                <c:pt idx="8">
                  <c:v>420</c:v>
                </c:pt>
                <c:pt idx="9">
                  <c:v>350</c:v>
                </c:pt>
                <c:pt idx="10">
                  <c:v>212.5</c:v>
                </c:pt>
                <c:pt idx="11">
                  <c:v>495</c:v>
                </c:pt>
                <c:pt idx="12">
                  <c:v>425</c:v>
                </c:pt>
                <c:pt idx="13">
                  <c:v>287.5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C5-416F-B3DD-3A0ACA89E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133824"/>
        <c:axId val="239135744"/>
      </c:lineChart>
      <c:catAx>
        <c:axId val="2391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239135744"/>
        <c:crosses val="autoZero"/>
        <c:auto val="1"/>
        <c:lblAlgn val="ctr"/>
        <c:lblOffset val="100"/>
        <c:noMultiLvlLbl val="0"/>
      </c:catAx>
      <c:valAx>
        <c:axId val="239135744"/>
        <c:scaling>
          <c:orientation val="minMax"/>
          <c:max val="6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239133824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$A$2" max="3" min="1" page="10" val="2"/>
</file>

<file path=xl/ctrlProps/ctrlProp2.xml><?xml version="1.0" encoding="utf-8"?>
<formControlPr xmlns="http://schemas.microsoft.com/office/spreadsheetml/2009/9/main" objectType="CheckBox" checked="Checked" fmlaLink="cálculos!$C$1" lockText="1"/>
</file>

<file path=xl/ctrlProps/ctrlProp3.xml><?xml version="1.0" encoding="utf-8"?>
<formControlPr xmlns="http://schemas.microsoft.com/office/spreadsheetml/2009/9/main" objectType="CheckBox" fmlaLink="cálculos!$D$1" lockText="1"/>
</file>

<file path=xl/ctrlProps/ctrlProp4.xml><?xml version="1.0" encoding="utf-8"?>
<formControlPr xmlns="http://schemas.microsoft.com/office/spreadsheetml/2009/9/main" objectType="CheckBox" fmlaLink="cálculos!$E$1" lockText="1"/>
</file>

<file path=xl/ctrlProps/ctrlProp5.xml><?xml version="1.0" encoding="utf-8"?>
<formControlPr xmlns="http://schemas.microsoft.com/office/spreadsheetml/2009/9/main" objectType="Spin" dx="16" fmlaLink="$A$71" max="6" min="1" page="10"/>
</file>

<file path=xl/ctrlProps/ctrlProp6.xml><?xml version="1.0" encoding="utf-8"?>
<formControlPr xmlns="http://schemas.microsoft.com/office/spreadsheetml/2009/9/main" objectType="CheckBox" checked="Checked" fmlaLink="cálculos!$F$1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77255</xdr:colOff>
      <xdr:row>14</xdr:row>
      <xdr:rowOff>60114</xdr:rowOff>
    </xdr:from>
    <xdr:to>
      <xdr:col>20</xdr:col>
      <xdr:colOff>274320</xdr:colOff>
      <xdr:row>35</xdr:row>
      <xdr:rowOff>44451</xdr:rowOff>
    </xdr:to>
    <xdr:graphicFrame macro="">
      <xdr:nvGraphicFramePr>
        <xdr:cNvPr id="1047" name="8 Gráfico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1</xdr:row>
          <xdr:rowOff>38100</xdr:rowOff>
        </xdr:from>
        <xdr:to>
          <xdr:col>1</xdr:col>
          <xdr:colOff>449580</xdr:colOff>
          <xdr:row>2</xdr:row>
          <xdr:rowOff>175260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207022</xdr:colOff>
          <xdr:row>14</xdr:row>
          <xdr:rowOff>112185</xdr:rowOff>
        </xdr:from>
        <xdr:to>
          <xdr:col>14</xdr:col>
          <xdr:colOff>921311</xdr:colOff>
          <xdr:row>15</xdr:row>
          <xdr:rowOff>91231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SERIE CRONOLÓGICA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207022</xdr:colOff>
          <xdr:row>15</xdr:row>
          <xdr:rowOff>64561</xdr:rowOff>
        </xdr:from>
        <xdr:to>
          <xdr:col>14</xdr:col>
          <xdr:colOff>921311</xdr:colOff>
          <xdr:row>15</xdr:row>
          <xdr:rowOff>272006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RECTA DE TENDENCIA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204332</xdr:colOff>
          <xdr:row>15</xdr:row>
          <xdr:rowOff>224381</xdr:rowOff>
        </xdr:from>
        <xdr:to>
          <xdr:col>14</xdr:col>
          <xdr:colOff>911001</xdr:colOff>
          <xdr:row>16</xdr:row>
          <xdr:rowOff>39996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MEDIAS MÓVILES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297180</xdr:colOff>
          <xdr:row>1</xdr:row>
          <xdr:rowOff>30480</xdr:rowOff>
        </xdr:from>
        <xdr:to>
          <xdr:col>13</xdr:col>
          <xdr:colOff>0</xdr:colOff>
          <xdr:row>2</xdr:row>
          <xdr:rowOff>228600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204332</xdr:colOff>
          <xdr:row>16</xdr:row>
          <xdr:rowOff>28341</xdr:rowOff>
        </xdr:from>
        <xdr:to>
          <xdr:col>15</xdr:col>
          <xdr:colOff>566370</xdr:colOff>
          <xdr:row>17</xdr:row>
          <xdr:rowOff>46966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SERIE CRONOLÓGICA ESTIMADA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3"/>
  <sheetViews>
    <sheetView showGridLines="0" showRowColHeaders="0" tabSelected="1" topLeftCell="G1" zoomScaleNormal="100" workbookViewId="0">
      <selection activeCell="B71" sqref="B71"/>
    </sheetView>
  </sheetViews>
  <sheetFormatPr baseColWidth="10" defaultColWidth="11.44140625" defaultRowHeight="14.4" x14ac:dyDescent="0.3"/>
  <cols>
    <col min="1" max="1" width="11.44140625" style="14" hidden="1" customWidth="1"/>
    <col min="2" max="2" width="8.33203125" style="14" customWidth="1"/>
    <col min="3" max="3" width="13.109375" style="14" bestFit="1" customWidth="1"/>
    <col min="4" max="6" width="14.88671875" style="14" bestFit="1" customWidth="1"/>
    <col min="7" max="7" width="5.44140625" style="14" customWidth="1"/>
    <col min="8" max="11" width="14.88671875" style="14" customWidth="1"/>
    <col min="12" max="12" width="3.21875" style="14" customWidth="1"/>
    <col min="13" max="13" width="8.33203125" style="14" customWidth="1"/>
    <col min="14" max="14" width="11.44140625" style="14"/>
    <col min="15" max="17" width="14.5546875" style="14" bestFit="1" customWidth="1"/>
    <col min="18" max="19" width="11.44140625" style="14"/>
    <col min="20" max="22" width="14.5546875" style="14" bestFit="1" customWidth="1"/>
    <col min="23" max="16384" width="11.44140625" style="14"/>
  </cols>
  <sheetData>
    <row r="1" spans="1:36" ht="6" customHeight="1" x14ac:dyDescent="0.3"/>
    <row r="2" spans="1:36" ht="15" customHeight="1" x14ac:dyDescent="0.3">
      <c r="A2" s="73">
        <v>2</v>
      </c>
      <c r="C2" s="130" t="str">
        <f>IF(A2=1,"Y(t) = τ(t) + E(t)",IF(A2=2,"Y(t) = τ(t) E (t)","¿ Y(t) = ?"))</f>
        <v>Y(t) = τ(t) E (t)</v>
      </c>
      <c r="D2" s="130"/>
      <c r="E2" s="130"/>
      <c r="F2" s="15"/>
      <c r="N2" s="177" t="s">
        <v>46</v>
      </c>
      <c r="O2" s="177"/>
      <c r="P2" s="177"/>
      <c r="Q2" s="177"/>
      <c r="R2" s="177"/>
      <c r="S2" s="177"/>
    </row>
    <row r="3" spans="1:36" ht="15" customHeight="1" x14ac:dyDescent="0.3">
      <c r="C3" s="130"/>
      <c r="D3" s="130"/>
      <c r="E3" s="130"/>
      <c r="F3" s="15"/>
      <c r="H3" s="120" t="s">
        <v>40</v>
      </c>
      <c r="I3" s="121"/>
      <c r="J3" s="121"/>
      <c r="K3" s="122"/>
      <c r="L3" s="146"/>
      <c r="N3" s="177"/>
      <c r="O3" s="177"/>
      <c r="P3" s="177"/>
      <c r="Q3" s="177"/>
      <c r="R3" s="177"/>
      <c r="S3" s="177"/>
    </row>
    <row r="4" spans="1:36" ht="15" customHeight="1" x14ac:dyDescent="0.3">
      <c r="C4" s="71"/>
      <c r="D4" s="72"/>
      <c r="E4" s="72"/>
      <c r="F4" s="15"/>
      <c r="H4" s="133" t="str">
        <f>IF(OR(A2=1,A2=2),"E(t)","¿E(t)?")</f>
        <v>E(t)</v>
      </c>
      <c r="I4" s="132">
        <f>IF(A2=1,A18,IF(A2=2,A22,""))</f>
        <v>1.1000000000000001</v>
      </c>
      <c r="J4" s="132">
        <f>IF(A2=1,A19,IF(A2=2,A23,""))</f>
        <v>0.5</v>
      </c>
      <c r="K4" s="132">
        <f>IF(A2=1,A20,IF(A2=2,A24,""))</f>
        <v>1.4</v>
      </c>
      <c r="L4" s="147"/>
      <c r="N4" s="176" t="str">
        <f>IF(A71=1,"MÉTODO DE LAS MEDIAS SIMPLES. MODELO ADITIVO. Y(t)=τ(t)+E(t)",IF(A71=2,"MÉTODO DE LAS MEDIAS SIMPLES. MODELO MULTIPLICATIVO. Y(t)=τ(t)E(t)",IF(A71=3,"MÉTODO DE LA DIFERENCIA A LA TENDENCIA. Y(t)=τ(t)+E(t)",IF(A71=4,"MÉTODO DE LA RAZÓN A LA TENDENCIA. Y(t)=τ(t)E(t)",IF(A71=5,"MÉTODO DE LA DIFERENCIA A LAS MEDIAS MÓVILES. Y(t)=τ(t)+E(t)",IF(A71=6,"MÉTODO DE LA RAZÓN A LAS MEDIAS MÓVILES. Y(t)=τ(t)E(t)",""))))))</f>
        <v>MÉTODO DE LAS MEDIAS SIMPLES. MODELO ADITIVO. Y(t)=τ(t)+E(t)</v>
      </c>
      <c r="O4" s="176"/>
      <c r="P4" s="176"/>
      <c r="Q4" s="176"/>
      <c r="R4" s="176"/>
      <c r="S4" s="176"/>
    </row>
    <row r="5" spans="1:36" ht="15" customHeight="1" x14ac:dyDescent="0.6">
      <c r="B5" s="98"/>
      <c r="C5" s="126" t="str">
        <f>IF(OR(A2=1,A2=2),"τ(t)=a+bt","")</f>
        <v>τ(t)=a+bt</v>
      </c>
      <c r="D5" s="127"/>
      <c r="E5" s="102" t="str">
        <f>IF(OR(A2=1,A2=2),"a=","")</f>
        <v>a=</v>
      </c>
      <c r="F5" s="103">
        <f>IF(OR(A2=1,A2=2),E9-(A12*C9),"")</f>
        <v>-151300</v>
      </c>
      <c r="H5" s="134"/>
      <c r="I5" s="132"/>
      <c r="J5" s="132"/>
      <c r="K5" s="132"/>
      <c r="L5" s="147"/>
      <c r="N5" s="176"/>
      <c r="O5" s="176"/>
      <c r="P5" s="176"/>
      <c r="Q5" s="176"/>
      <c r="R5" s="176"/>
      <c r="S5" s="176"/>
    </row>
    <row r="6" spans="1:36" ht="15" customHeight="1" thickBot="1" x14ac:dyDescent="0.35">
      <c r="C6" s="128"/>
      <c r="D6" s="129"/>
      <c r="E6" s="97" t="str">
        <f>IF(OR(A2=1,A2=2),"b=","")</f>
        <v>b=</v>
      </c>
      <c r="F6" s="104">
        <f>IF(OR(A2=1,A2=2),A12,"")</f>
        <v>75</v>
      </c>
      <c r="H6" s="95"/>
      <c r="I6" s="96"/>
      <c r="J6" s="96"/>
      <c r="K6" s="96"/>
      <c r="L6" s="96"/>
      <c r="N6" s="160"/>
      <c r="O6" s="160"/>
      <c r="P6" s="160"/>
      <c r="Q6" s="160"/>
      <c r="R6" s="160"/>
      <c r="S6" s="113"/>
      <c r="T6" s="113"/>
      <c r="U6" s="113"/>
      <c r="V6" s="113"/>
      <c r="W6" s="113"/>
    </row>
    <row r="7" spans="1:36" ht="15" thickBot="1" x14ac:dyDescent="0.35">
      <c r="C7" s="123" t="s">
        <v>41</v>
      </c>
      <c r="D7" s="124"/>
      <c r="E7" s="124"/>
      <c r="F7" s="125"/>
      <c r="H7" s="135" t="s">
        <v>39</v>
      </c>
      <c r="I7" s="136"/>
      <c r="J7" s="136"/>
      <c r="K7" s="137"/>
      <c r="L7" s="146"/>
      <c r="N7" s="173" t="s">
        <v>43</v>
      </c>
      <c r="O7" s="174"/>
      <c r="P7" s="174"/>
      <c r="Q7" s="175"/>
      <c r="R7" s="169"/>
    </row>
    <row r="8" spans="1:36" ht="30" customHeight="1" x14ac:dyDescent="0.3">
      <c r="C8" s="105" t="str">
        <f>IF(OR(A2=1,A2=2),"τ(t)","¿τ(t)?")</f>
        <v>τ(t)</v>
      </c>
      <c r="D8" s="16" t="str">
        <f>IF(OR(A2=1,A2=2),"1º Cuatrimestre","")</f>
        <v>1º Cuatrimestre</v>
      </c>
      <c r="E8" s="16" t="str">
        <f>IF(OR(A2=1,A2=2),"2º Cuatrimestre","")</f>
        <v>2º Cuatrimestre</v>
      </c>
      <c r="F8" s="16" t="str">
        <f>IF(OR(A2=1,A2=2),"3º Cuatrimestre","")</f>
        <v>3º Cuatrimestre</v>
      </c>
      <c r="H8" s="110" t="s">
        <v>45</v>
      </c>
      <c r="I8" s="17" t="s">
        <v>1</v>
      </c>
      <c r="J8" s="17" t="s">
        <v>2</v>
      </c>
      <c r="K8" s="18" t="s">
        <v>0</v>
      </c>
      <c r="L8" s="148"/>
      <c r="N8" s="170" t="s">
        <v>44</v>
      </c>
      <c r="O8" s="161" t="s">
        <v>1</v>
      </c>
      <c r="P8" s="161" t="s">
        <v>2</v>
      </c>
      <c r="Q8" s="162" t="s">
        <v>0</v>
      </c>
      <c r="R8" s="171"/>
    </row>
    <row r="9" spans="1:36" x14ac:dyDescent="0.3">
      <c r="A9" s="78" t="s">
        <v>19</v>
      </c>
      <c r="B9" s="19"/>
      <c r="C9" s="20">
        <f>IF(A$2=3,"",H9)</f>
        <v>2019</v>
      </c>
      <c r="D9" s="20">
        <f>IF(OR(A2=1,A2=2),A10,"")</f>
        <v>100</v>
      </c>
      <c r="E9" s="20">
        <f>IF(OR(A2=1,A2=2),D9+(A12/3),"")</f>
        <v>125</v>
      </c>
      <c r="F9" s="20">
        <f>IF(OR(A2=1,A2=2),E9+(A12/3),"")</f>
        <v>150</v>
      </c>
      <c r="H9" s="21">
        <v>2019</v>
      </c>
      <c r="I9" s="22">
        <f>IF($A$2=1,D9+$I$4,IF($A$2=2,D9*$I$4,150))</f>
        <v>110.00000000000001</v>
      </c>
      <c r="J9" s="22">
        <f>IF($A$2=1,E9+$J$4,IF($A$2=2,E9*$J$4,115))</f>
        <v>62.5</v>
      </c>
      <c r="K9" s="23">
        <f>IF($A$2=1,F9+$K$4,IF($A$2=2,F9*$K$4,210))</f>
        <v>210</v>
      </c>
      <c r="L9" s="146"/>
      <c r="N9" s="163">
        <f>H9</f>
        <v>2019</v>
      </c>
      <c r="O9" s="164">
        <f>IF($A$71=1,D29+D$45,IF($A$71=2,D29*I$45,IF($A$71=3,D29+D$56,IF($A$71=4,D29*I$56,IF($A$71=5,"",IF($A$71=6,"",""))))))</f>
        <v>125</v>
      </c>
      <c r="P9" s="164">
        <f>IF($A$71=1,E29+E$45,IF($A$71=2,E29*J$45,IF($A$71=3,E29+E$56,IF($A$71=4,E29*J$56,IF($A$71=5,J29+E$67,IF($A$71=6,J29*J$67,""))))))</f>
        <v>-12.5</v>
      </c>
      <c r="Q9" s="165">
        <f>IF($A$71=1,F29+F$45,IF($A$71=2,F29*K$45,IF($A$71=3,F29+F$56,IF($A$71=4,F29*K$56,IF($A$71=5,K29+F$67,IF($A$71=6,K29*K$67,""))))))</f>
        <v>270</v>
      </c>
      <c r="R9" s="172"/>
    </row>
    <row r="10" spans="1:36" x14ac:dyDescent="0.3">
      <c r="A10" s="76">
        <v>100</v>
      </c>
      <c r="C10" s="20">
        <f t="shared" ref="C10:C13" si="0">IF(A$2=3,"",H10)</f>
        <v>2020</v>
      </c>
      <c r="D10" s="20">
        <f>IF(OR(A2=1,A2=2),D9+$A$12,"")</f>
        <v>175</v>
      </c>
      <c r="E10" s="20">
        <f>IF(OR(A2=1,A2=2),E9+$A$12,"")</f>
        <v>200</v>
      </c>
      <c r="F10" s="20">
        <f>IF(OR(A2=1,A2=2),F9+$A$12,"")</f>
        <v>225</v>
      </c>
      <c r="H10" s="24">
        <v>2020</v>
      </c>
      <c r="I10" s="22">
        <f>IF($A$2=1,D10+$I$4,IF($A$2=2,D10*$I$4,220))</f>
        <v>192.50000000000003</v>
      </c>
      <c r="J10" s="22">
        <f>IF($A$2=1,E10+$J$4,IF($A$2=2,E10*$J$4,150))</f>
        <v>100</v>
      </c>
      <c r="K10" s="23">
        <f>IF($A$2=1,F10+$K$4,IF($A$2=2,F10*$K$4,290))</f>
        <v>315</v>
      </c>
      <c r="L10" s="146"/>
      <c r="N10" s="163">
        <f t="shared" ref="N10:N13" si="1">H10</f>
        <v>2020</v>
      </c>
      <c r="O10" s="164">
        <f>IF($A$71=1,D30+D$45,IF($A$71=2,D30*I$45,IF($A$71=3,D30+D$56,IF($A$71=4,D30*I$56,IF($A$71=5,I30+D$67,IF($A$71=6,I30*I$67,""))))))</f>
        <v>200</v>
      </c>
      <c r="P10" s="164">
        <f>IF($A$71=1,E30+E$45,IF($A$71=2,E30*J$45,IF($A$71=3,E30+E$56,IF($A$71=4,E30*J$56,IF($A$71=5,J30+E$67,IF($A$71=6,J30*J$67,""))))))</f>
        <v>62.5</v>
      </c>
      <c r="Q10" s="165">
        <f>IF($A$71=1,F30+F$45,IF($A$71=2,F30*K$45,IF($A$71=3,F30+F$56,IF($A$71=4,F30*K$56,IF($A$71=5,K30+F$67,IF($A$71=6,K30*K$67,""))))))</f>
        <v>345</v>
      </c>
      <c r="R10" s="172"/>
    </row>
    <row r="11" spans="1:36" x14ac:dyDescent="0.3">
      <c r="A11" s="79" t="s">
        <v>20</v>
      </c>
      <c r="C11" s="20">
        <f t="shared" si="0"/>
        <v>2021</v>
      </c>
      <c r="D11" s="20">
        <f>IF(OR(A2=1,A2=2),D10+$A$12,"")</f>
        <v>250</v>
      </c>
      <c r="E11" s="20">
        <f>IF(OR(A2=1,A2=2),E10+$A$12,"")</f>
        <v>275</v>
      </c>
      <c r="F11" s="20">
        <f>IF(OR(A2=1,A2=2),F10+$A$12,"")</f>
        <v>300</v>
      </c>
      <c r="H11" s="24">
        <v>2021</v>
      </c>
      <c r="I11" s="22">
        <f>IF($A$2=1,D11+$I$4,IF($A$2=2,D11*$I$4,300))</f>
        <v>275</v>
      </c>
      <c r="J11" s="22">
        <f>IF($A$2=1,E11+$J$4,IF($A$2=2,E11*$J$4,180))</f>
        <v>137.5</v>
      </c>
      <c r="K11" s="23">
        <f>IF($A$2=1,F11+$K$4,IF($A$2=2,F11*$K$4,355))</f>
        <v>420</v>
      </c>
      <c r="L11" s="146"/>
      <c r="N11" s="163">
        <f t="shared" si="1"/>
        <v>2021</v>
      </c>
      <c r="O11" s="164">
        <f>IF($A$71=1,D31+D$45,IF($A$71=2,D31*I$45,IF($A$71=3,D31+D$56,IF($A$71=4,D31*I$56,IF($A$71=5,I31+D$67,IF($A$71=6,I31*I$67,""))))))</f>
        <v>275</v>
      </c>
      <c r="P11" s="164">
        <f>IF($A$71=1,E31+E$45,IF($A$71=2,E31*J$45,IF($A$71=3,E31+E$56,IF($A$71=4,E31*J$56,IF($A$71=5,J31+E$67,IF($A$71=6,J31*J$67,""))))))</f>
        <v>137.5</v>
      </c>
      <c r="Q11" s="165">
        <f>IF($A$71=1,F31+F$45,IF($A$71=2,F31*K$45,IF($A$71=3,F31+F$56,IF($A$71=4,F31*K$56,IF($A$71=5,K31+F$67,IF($A$71=6,K31*K$67,""))))))</f>
        <v>420</v>
      </c>
      <c r="R11" s="172"/>
    </row>
    <row r="12" spans="1:36" x14ac:dyDescent="0.3">
      <c r="A12" s="76">
        <v>75</v>
      </c>
      <c r="C12" s="20">
        <f t="shared" si="0"/>
        <v>2022</v>
      </c>
      <c r="D12" s="20">
        <f>IF(OR(A2=1,A2=2),D11+$A$12,"")</f>
        <v>325</v>
      </c>
      <c r="E12" s="20">
        <f>IF(OR(A2=1,A2=2),E11+$A$12,"")</f>
        <v>350</v>
      </c>
      <c r="F12" s="20">
        <f>IF(OR(A2=1,A2=2),F11+$A$12,"")</f>
        <v>375</v>
      </c>
      <c r="H12" s="24">
        <v>2022</v>
      </c>
      <c r="I12" s="22">
        <f>IF($A$2=1,D12+$I$4,IF($A$2=2,D12*$I$4,370))</f>
        <v>357.50000000000006</v>
      </c>
      <c r="J12" s="22">
        <f>IF($A$2=1,E12+$J$4,IF($A$2=2,E12*$J$4,210))</f>
        <v>175</v>
      </c>
      <c r="K12" s="23">
        <f>IF($A$2=1,F12+$K$4,IF($A$2=2,F12*$K$4,420))</f>
        <v>525</v>
      </c>
      <c r="L12" s="146"/>
      <c r="N12" s="163">
        <f t="shared" si="1"/>
        <v>2022</v>
      </c>
      <c r="O12" s="164">
        <f>IF($A$71=1,D32+D$45,IF($A$71=2,D32*I$45,IF($A$71=3,D32+D$56,IF($A$71=4,D32*I$56,IF($A$71=5,I32+D$67,IF($A$71=6,I32*I$67,""))))))</f>
        <v>350</v>
      </c>
      <c r="P12" s="164">
        <f>IF($A$71=1,E32+E$45,IF($A$71=2,E32*J$45,IF($A$71=3,E32+E$56,IF($A$71=4,E32*J$56,IF($A$71=5,J32+E$67,IF($A$71=6,J32*J$67,""))))))</f>
        <v>212.5</v>
      </c>
      <c r="Q12" s="165">
        <f>IF($A$71=1,F32+F$45,IF($A$71=2,F32*K$45,IF($A$71=3,F32+F$56,IF($A$71=4,F32*K$56,IF($A$71=5,K32+F$67,IF($A$71=6,K32*K$67,""))))))</f>
        <v>495</v>
      </c>
      <c r="R12" s="172"/>
    </row>
    <row r="13" spans="1:36" ht="15" thickBot="1" x14ac:dyDescent="0.35">
      <c r="C13" s="20">
        <f t="shared" si="0"/>
        <v>2023</v>
      </c>
      <c r="D13" s="20">
        <f>IF(OR(A2=1,A2=2),D12+$A$12,"")</f>
        <v>400</v>
      </c>
      <c r="E13" s="20">
        <f>IF(OR(A2=1,A2=2),E12+$A$12,"")</f>
        <v>425</v>
      </c>
      <c r="F13" s="20">
        <f>IF(OR(A2=1,A2=2),F12+$A$12,"")</f>
        <v>450</v>
      </c>
      <c r="H13" s="25">
        <v>2023</v>
      </c>
      <c r="I13" s="26">
        <f>IF($A$2=1,D13+$I$4,IF($A$2=2,D13*$I$4,445))</f>
        <v>440.00000000000006</v>
      </c>
      <c r="J13" s="26">
        <f>IF($A$2=1,E13+$J$4,IF($A$2=2,E13*$J$4,250))</f>
        <v>212.5</v>
      </c>
      <c r="K13" s="27">
        <f>IF($A$2=1,F13+$K$4,IF($A$2=2,F13*$K$4,480))</f>
        <v>630</v>
      </c>
      <c r="L13" s="146"/>
      <c r="N13" s="166">
        <f t="shared" si="1"/>
        <v>2023</v>
      </c>
      <c r="O13" s="167">
        <f>IF($A$71=1,D33+D$45,IF($A$71=2,D33*I$45,IF($A$71=3,D33+D$56,IF($A$71=4,D33*I$56,IF($A$71=5,I33+D$67,IF($A$71=6,I33*I$67,""))))))</f>
        <v>425</v>
      </c>
      <c r="P13" s="167">
        <f>IF($A$71=1,E33+E$45,IF($A$71=2,E33*J$45,IF($A$71=3,E33+E$56,IF($A$71=4,E33*J$56,IF($A$71=5,J33+E$67,IF($A$71=6,J33*J$67,""))))))</f>
        <v>287.5</v>
      </c>
      <c r="Q13" s="168">
        <f>IF($A$71=1,F33+F$45,IF($A$71=2,F33*K$45,IF($A$71=3,F33+F$56,IF($A$71=4,F33*K$56,IF($A$71=5,"",IF($A$71=6,"",""))))))</f>
        <v>570</v>
      </c>
      <c r="R13" s="172"/>
    </row>
    <row r="14" spans="1:36" ht="15" thickBot="1" x14ac:dyDescent="0.35">
      <c r="B14" s="142"/>
      <c r="C14" s="143"/>
      <c r="D14" s="143"/>
      <c r="E14" s="143"/>
      <c r="F14" s="143"/>
      <c r="G14" s="142"/>
      <c r="H14" s="144"/>
      <c r="I14" s="145"/>
      <c r="J14" s="145"/>
      <c r="K14" s="145"/>
      <c r="L14" s="145"/>
      <c r="M14" s="142"/>
      <c r="N14" s="142"/>
      <c r="O14" s="142"/>
      <c r="P14" s="142"/>
      <c r="Q14" s="142"/>
      <c r="R14" s="142"/>
      <c r="S14" s="143"/>
      <c r="T14" s="143"/>
      <c r="U14" s="150"/>
      <c r="V14" s="150"/>
      <c r="W14" s="150"/>
    </row>
    <row r="15" spans="1:36" ht="18.600000000000001" thickTop="1" x14ac:dyDescent="0.3">
      <c r="AF15" s="84"/>
      <c r="AG15" s="100"/>
      <c r="AH15" s="100"/>
      <c r="AI15" s="100"/>
      <c r="AJ15" s="100"/>
    </row>
    <row r="16" spans="1:36" ht="30" customHeight="1" x14ac:dyDescent="0.3">
      <c r="C16" s="28" t="s">
        <v>4</v>
      </c>
      <c r="D16" s="16" t="s">
        <v>1</v>
      </c>
      <c r="E16" s="16" t="s">
        <v>2</v>
      </c>
      <c r="F16" s="16" t="s">
        <v>0</v>
      </c>
      <c r="H16" s="28" t="s">
        <v>5</v>
      </c>
      <c r="I16" s="16" t="s">
        <v>1</v>
      </c>
      <c r="J16" s="16" t="s">
        <v>2</v>
      </c>
      <c r="K16" s="16" t="s">
        <v>0</v>
      </c>
      <c r="L16" s="149"/>
    </row>
    <row r="17" spans="1:37" x14ac:dyDescent="0.3">
      <c r="A17" s="74" t="s">
        <v>29</v>
      </c>
      <c r="C17" s="20">
        <f>H9</f>
        <v>2019</v>
      </c>
      <c r="D17" s="29"/>
      <c r="E17" s="29"/>
      <c r="F17" s="29"/>
      <c r="H17" s="20">
        <f>H9</f>
        <v>2019</v>
      </c>
      <c r="I17" s="20"/>
      <c r="J17" s="20"/>
      <c r="K17" s="20"/>
      <c r="L17" s="150"/>
    </row>
    <row r="18" spans="1:37" x14ac:dyDescent="0.3">
      <c r="A18" s="75">
        <v>40</v>
      </c>
      <c r="C18" s="20">
        <f t="shared" ref="C18:C21" si="2">H10</f>
        <v>2020</v>
      </c>
      <c r="D18" s="20">
        <f t="shared" ref="D18:F21" si="3">I10-I9</f>
        <v>82.500000000000014</v>
      </c>
      <c r="E18" s="20">
        <f t="shared" si="3"/>
        <v>37.5</v>
      </c>
      <c r="F18" s="20">
        <f t="shared" si="3"/>
        <v>105</v>
      </c>
      <c r="H18" s="20">
        <f t="shared" ref="H18:H21" si="4">H10</f>
        <v>2020</v>
      </c>
      <c r="I18" s="30">
        <f t="shared" ref="I18:K21" si="5">I10/I9</f>
        <v>1.75</v>
      </c>
      <c r="J18" s="30">
        <f t="shared" si="5"/>
        <v>1.6</v>
      </c>
      <c r="K18" s="30">
        <f t="shared" si="5"/>
        <v>1.5</v>
      </c>
      <c r="L18" s="151"/>
    </row>
    <row r="19" spans="1:37" x14ac:dyDescent="0.3">
      <c r="A19" s="75">
        <v>-90</v>
      </c>
      <c r="C19" s="20">
        <f t="shared" si="2"/>
        <v>2021</v>
      </c>
      <c r="D19" s="20">
        <f t="shared" si="3"/>
        <v>82.499999999999972</v>
      </c>
      <c r="E19" s="20">
        <f t="shared" si="3"/>
        <v>37.5</v>
      </c>
      <c r="F19" s="20">
        <f t="shared" si="3"/>
        <v>105</v>
      </c>
      <c r="H19" s="20">
        <f t="shared" si="4"/>
        <v>2021</v>
      </c>
      <c r="I19" s="30">
        <f t="shared" si="5"/>
        <v>1.4285714285714284</v>
      </c>
      <c r="J19" s="30">
        <f t="shared" si="5"/>
        <v>1.375</v>
      </c>
      <c r="K19" s="30">
        <f t="shared" si="5"/>
        <v>1.3333333333333333</v>
      </c>
      <c r="L19" s="151"/>
    </row>
    <row r="20" spans="1:37" x14ac:dyDescent="0.3">
      <c r="A20" s="76">
        <v>50</v>
      </c>
      <c r="C20" s="20">
        <f t="shared" si="2"/>
        <v>2022</v>
      </c>
      <c r="D20" s="20">
        <f t="shared" si="3"/>
        <v>82.500000000000057</v>
      </c>
      <c r="E20" s="20">
        <f t="shared" si="3"/>
        <v>37.5</v>
      </c>
      <c r="F20" s="20">
        <f t="shared" si="3"/>
        <v>105</v>
      </c>
      <c r="H20" s="20">
        <f t="shared" si="4"/>
        <v>2022</v>
      </c>
      <c r="I20" s="30">
        <f t="shared" si="5"/>
        <v>1.3000000000000003</v>
      </c>
      <c r="J20" s="30">
        <f t="shared" si="5"/>
        <v>1.2727272727272727</v>
      </c>
      <c r="K20" s="30">
        <f t="shared" si="5"/>
        <v>1.25</v>
      </c>
      <c r="L20" s="151"/>
    </row>
    <row r="21" spans="1:37" x14ac:dyDescent="0.3">
      <c r="A21" s="74" t="s">
        <v>30</v>
      </c>
      <c r="C21" s="20">
        <f t="shared" si="2"/>
        <v>2023</v>
      </c>
      <c r="D21" s="20">
        <f t="shared" si="3"/>
        <v>82.5</v>
      </c>
      <c r="E21" s="20">
        <f t="shared" si="3"/>
        <v>37.5</v>
      </c>
      <c r="F21" s="20">
        <f t="shared" si="3"/>
        <v>105</v>
      </c>
      <c r="H21" s="20">
        <f t="shared" si="4"/>
        <v>2023</v>
      </c>
      <c r="I21" s="30">
        <f t="shared" si="5"/>
        <v>1.2307692307692308</v>
      </c>
      <c r="J21" s="30">
        <f t="shared" si="5"/>
        <v>1.2142857142857142</v>
      </c>
      <c r="K21" s="30">
        <f t="shared" si="5"/>
        <v>1.2</v>
      </c>
      <c r="L21" s="151"/>
    </row>
    <row r="22" spans="1:37" ht="15" customHeight="1" x14ac:dyDescent="0.3">
      <c r="A22" s="75">
        <v>1.1000000000000001</v>
      </c>
      <c r="D22" s="31" t="s">
        <v>13</v>
      </c>
      <c r="E22" s="32">
        <f>AVERAGE(D18:F21)</f>
        <v>75</v>
      </c>
      <c r="I22" s="31" t="s">
        <v>16</v>
      </c>
      <c r="J22" s="32">
        <f>AVERAGE(I18:K21)</f>
        <v>1.3712239149739152</v>
      </c>
    </row>
    <row r="23" spans="1:37" s="33" customFormat="1" ht="15" customHeight="1" x14ac:dyDescent="0.3">
      <c r="A23" s="75">
        <v>0.5</v>
      </c>
      <c r="D23" s="31" t="s">
        <v>14</v>
      </c>
      <c r="E23" s="32">
        <f>STDEVP(D18:F21)</f>
        <v>28.062430400804562</v>
      </c>
      <c r="H23" s="14"/>
      <c r="I23" s="31" t="s">
        <v>17</v>
      </c>
      <c r="J23" s="32">
        <f>STDEVP(I18:K21)</f>
        <v>0.16336977750442669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ht="15" customHeight="1" thickBot="1" x14ac:dyDescent="0.35">
      <c r="A24" s="77">
        <v>1.4</v>
      </c>
      <c r="B24" s="155"/>
      <c r="C24" s="142"/>
      <c r="D24" s="156" t="s">
        <v>15</v>
      </c>
      <c r="E24" s="157">
        <f>E23/E22</f>
        <v>0.37416573867739417</v>
      </c>
      <c r="F24" s="142"/>
      <c r="G24" s="142"/>
      <c r="H24" s="142"/>
      <c r="I24" s="156" t="s">
        <v>18</v>
      </c>
      <c r="J24" s="157">
        <f>J23/J22</f>
        <v>0.11914157543520854</v>
      </c>
      <c r="K24" s="142"/>
      <c r="L24" s="142"/>
    </row>
    <row r="25" spans="1:37" ht="15" customHeight="1" thickTop="1" thickBot="1" x14ac:dyDescent="0.35">
      <c r="A25" s="33"/>
      <c r="D25" s="31"/>
      <c r="E25" s="32"/>
      <c r="I25" s="31"/>
      <c r="J25" s="32"/>
    </row>
    <row r="26" spans="1:37" ht="15" customHeight="1" x14ac:dyDescent="0.3">
      <c r="A26" s="33"/>
      <c r="C26" s="106"/>
      <c r="D26" s="138" t="s">
        <v>42</v>
      </c>
      <c r="E26" s="138"/>
      <c r="F26" s="107"/>
      <c r="I26" s="31"/>
      <c r="J26" s="32"/>
      <c r="W26" s="33"/>
    </row>
    <row r="27" spans="1:37" ht="18.600000000000001" thickBot="1" x14ac:dyDescent="0.4">
      <c r="A27" s="33"/>
      <c r="C27" s="108" t="s">
        <v>19</v>
      </c>
      <c r="D27" s="111">
        <f>cálculos!J22</f>
        <v>-151297.5</v>
      </c>
      <c r="E27" s="109" t="s">
        <v>20</v>
      </c>
      <c r="F27" s="112">
        <f>cálculos!J21</f>
        <v>75</v>
      </c>
      <c r="M27" s="158"/>
    </row>
    <row r="28" spans="1:37" ht="28.8" x14ac:dyDescent="0.3">
      <c r="A28" s="81"/>
      <c r="C28" s="43" t="str">
        <f>cálculos!B28</f>
        <v xml:space="preserve">RECTA DE TENDENCIA </v>
      </c>
      <c r="D28" s="44" t="str">
        <f>cálculos!C28</f>
        <v>1º Cuatrimestre</v>
      </c>
      <c r="E28" s="44" t="str">
        <f>cálculos!D28</f>
        <v>2º Cuatrimestre</v>
      </c>
      <c r="F28" s="45" t="str">
        <f>cálculos!E28</f>
        <v>3º Cuatrimestre</v>
      </c>
      <c r="H28" s="34" t="str">
        <f>cálculos!B36</f>
        <v>MEDIAS MÓVILES</v>
      </c>
      <c r="I28" s="35" t="str">
        <f>cálculos!C36</f>
        <v>1º Cuatrimestre</v>
      </c>
      <c r="J28" s="35" t="str">
        <f>cálculos!D36</f>
        <v>2º Cuatrimestre</v>
      </c>
      <c r="K28" s="36" t="str">
        <f>cálculos!E36</f>
        <v>3º Cuatrimestre</v>
      </c>
      <c r="L28" s="152"/>
      <c r="M28" s="158"/>
      <c r="X28" s="33"/>
    </row>
    <row r="29" spans="1:37" x14ac:dyDescent="0.3">
      <c r="C29" s="46">
        <f>cálculos!B29</f>
        <v>2019</v>
      </c>
      <c r="D29" s="47">
        <f>cálculos!C29</f>
        <v>102.5</v>
      </c>
      <c r="E29" s="47">
        <f>cálculos!D29</f>
        <v>127.5</v>
      </c>
      <c r="F29" s="48">
        <f>cálculos!E29</f>
        <v>152.5</v>
      </c>
      <c r="H29" s="37">
        <f>cálculos!B37</f>
        <v>2019</v>
      </c>
      <c r="I29" s="38"/>
      <c r="J29" s="38">
        <f>cálculos!D37</f>
        <v>127.5</v>
      </c>
      <c r="K29" s="39">
        <f>cálculos!E37</f>
        <v>155</v>
      </c>
      <c r="L29" s="153"/>
    </row>
    <row r="30" spans="1:37" x14ac:dyDescent="0.3">
      <c r="C30" s="46">
        <f>cálculos!B30</f>
        <v>2020</v>
      </c>
      <c r="D30" s="47">
        <f>cálculos!C30</f>
        <v>177.5</v>
      </c>
      <c r="E30" s="47">
        <f>cálculos!D30</f>
        <v>202.5</v>
      </c>
      <c r="F30" s="48">
        <f>cálculos!E30</f>
        <v>227.5</v>
      </c>
      <c r="H30" s="37">
        <f>cálculos!B38</f>
        <v>2020</v>
      </c>
      <c r="I30" s="38">
        <f>cálculos!C38</f>
        <v>167.5</v>
      </c>
      <c r="J30" s="38">
        <f>cálculos!D38</f>
        <v>202.5</v>
      </c>
      <c r="K30" s="39">
        <f>cálculos!E38</f>
        <v>230</v>
      </c>
      <c r="L30" s="153"/>
    </row>
    <row r="31" spans="1:37" x14ac:dyDescent="0.3">
      <c r="C31" s="46">
        <f>cálculos!B31</f>
        <v>2021</v>
      </c>
      <c r="D31" s="47">
        <f>cálculos!C31</f>
        <v>252.5</v>
      </c>
      <c r="E31" s="47">
        <f>cálculos!D31</f>
        <v>277.5</v>
      </c>
      <c r="F31" s="48">
        <f>cálculos!E31</f>
        <v>302.5</v>
      </c>
      <c r="H31" s="37">
        <f>cálculos!B39</f>
        <v>2021</v>
      </c>
      <c r="I31" s="38">
        <f>cálculos!C39</f>
        <v>242.5</v>
      </c>
      <c r="J31" s="38">
        <f>cálculos!D39</f>
        <v>277.5</v>
      </c>
      <c r="K31" s="39">
        <f>cálculos!E39</f>
        <v>305</v>
      </c>
      <c r="L31" s="153"/>
    </row>
    <row r="32" spans="1:37" x14ac:dyDescent="0.3">
      <c r="C32" s="46">
        <f>cálculos!B32</f>
        <v>2022</v>
      </c>
      <c r="D32" s="47">
        <f>cálculos!C32</f>
        <v>327.5</v>
      </c>
      <c r="E32" s="47">
        <f>cálculos!D32</f>
        <v>352.5</v>
      </c>
      <c r="F32" s="48">
        <f>cálculos!E32</f>
        <v>377.5</v>
      </c>
      <c r="H32" s="37">
        <f>cálculos!B40</f>
        <v>2022</v>
      </c>
      <c r="I32" s="38">
        <f>cálculos!C40</f>
        <v>317.5</v>
      </c>
      <c r="J32" s="38">
        <f>cálculos!D40</f>
        <v>352.5</v>
      </c>
      <c r="K32" s="39">
        <f>cálculos!E40</f>
        <v>380</v>
      </c>
      <c r="L32" s="153"/>
    </row>
    <row r="33" spans="2:22" ht="15" thickBot="1" x14ac:dyDescent="0.35">
      <c r="C33" s="49">
        <f>cálculos!B33</f>
        <v>2023</v>
      </c>
      <c r="D33" s="50">
        <f>cálculos!C33</f>
        <v>402.5</v>
      </c>
      <c r="E33" s="50">
        <f>cálculos!D33</f>
        <v>427.5</v>
      </c>
      <c r="F33" s="51">
        <f>cálculos!E33</f>
        <v>452.5</v>
      </c>
      <c r="H33" s="40">
        <f>cálculos!B41</f>
        <v>2023</v>
      </c>
      <c r="I33" s="41">
        <f>cálculos!C41</f>
        <v>392.5</v>
      </c>
      <c r="J33" s="41">
        <f>cálculos!D41</f>
        <v>427.5</v>
      </c>
      <c r="K33" s="42"/>
      <c r="L33" s="153"/>
    </row>
    <row r="34" spans="2:22" ht="15" thickBot="1" x14ac:dyDescent="0.35">
      <c r="C34" s="69"/>
      <c r="D34" s="69"/>
      <c r="E34" s="69"/>
      <c r="F34" s="69"/>
      <c r="H34" s="70"/>
      <c r="I34" s="70"/>
      <c r="J34" s="70"/>
      <c r="K34" s="70"/>
      <c r="L34" s="70"/>
    </row>
    <row r="35" spans="2:22" ht="15" thickTop="1" x14ac:dyDescent="0.3"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</row>
    <row r="36" spans="2:22" ht="15" thickBot="1" x14ac:dyDescent="0.35">
      <c r="C36" s="131" t="s">
        <v>27</v>
      </c>
      <c r="D36" s="131"/>
      <c r="E36" s="131"/>
      <c r="F36" s="131"/>
      <c r="H36" s="131" t="s">
        <v>28</v>
      </c>
      <c r="I36" s="131"/>
      <c r="J36" s="131"/>
      <c r="K36" s="131"/>
      <c r="L36" s="86"/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spans="2:22" ht="18" x14ac:dyDescent="0.3">
      <c r="C37" s="94" t="s">
        <v>44</v>
      </c>
      <c r="D37" s="87" t="s">
        <v>1</v>
      </c>
      <c r="E37" s="87" t="s">
        <v>2</v>
      </c>
      <c r="F37" s="88" t="s">
        <v>0</v>
      </c>
      <c r="H37" s="94" t="s">
        <v>44</v>
      </c>
      <c r="I37" s="87" t="s">
        <v>1</v>
      </c>
      <c r="J37" s="87" t="s">
        <v>2</v>
      </c>
      <c r="K37" s="88" t="s">
        <v>0</v>
      </c>
      <c r="L37" s="149"/>
    </row>
    <row r="38" spans="2:22" x14ac:dyDescent="0.3">
      <c r="C38" s="89">
        <f>H9</f>
        <v>2019</v>
      </c>
      <c r="D38" s="20">
        <f>I9</f>
        <v>110.00000000000001</v>
      </c>
      <c r="E38" s="20">
        <f>J9</f>
        <v>62.5</v>
      </c>
      <c r="F38" s="90">
        <f>K9</f>
        <v>210</v>
      </c>
      <c r="H38" s="89">
        <f>H9</f>
        <v>2019</v>
      </c>
      <c r="I38" s="20">
        <f t="shared" ref="I38:K42" si="6">I9</f>
        <v>110.00000000000001</v>
      </c>
      <c r="J38" s="20">
        <f t="shared" si="6"/>
        <v>62.5</v>
      </c>
      <c r="K38" s="90">
        <f t="shared" si="6"/>
        <v>210</v>
      </c>
      <c r="L38" s="150"/>
    </row>
    <row r="39" spans="2:22" x14ac:dyDescent="0.3">
      <c r="C39" s="89">
        <f t="shared" ref="C39:C42" si="7">H10</f>
        <v>2020</v>
      </c>
      <c r="D39" s="20">
        <f>I10</f>
        <v>192.50000000000003</v>
      </c>
      <c r="E39" s="20">
        <f t="shared" ref="E39:F42" si="8">J10</f>
        <v>100</v>
      </c>
      <c r="F39" s="90">
        <f t="shared" si="8"/>
        <v>315</v>
      </c>
      <c r="H39" s="89">
        <f t="shared" ref="H39:H42" si="9">H10</f>
        <v>2020</v>
      </c>
      <c r="I39" s="20">
        <f t="shared" si="6"/>
        <v>192.50000000000003</v>
      </c>
      <c r="J39" s="20">
        <f t="shared" si="6"/>
        <v>100</v>
      </c>
      <c r="K39" s="90">
        <f t="shared" si="6"/>
        <v>315</v>
      </c>
      <c r="L39" s="150"/>
    </row>
    <row r="40" spans="2:22" x14ac:dyDescent="0.3">
      <c r="C40" s="89">
        <f t="shared" si="7"/>
        <v>2021</v>
      </c>
      <c r="D40" s="20">
        <f>I11</f>
        <v>275</v>
      </c>
      <c r="E40" s="20">
        <f t="shared" si="8"/>
        <v>137.5</v>
      </c>
      <c r="F40" s="90">
        <f t="shared" si="8"/>
        <v>420</v>
      </c>
      <c r="H40" s="89">
        <f t="shared" si="9"/>
        <v>2021</v>
      </c>
      <c r="I40" s="20">
        <f t="shared" si="6"/>
        <v>275</v>
      </c>
      <c r="J40" s="20">
        <f t="shared" si="6"/>
        <v>137.5</v>
      </c>
      <c r="K40" s="90">
        <f t="shared" si="6"/>
        <v>420</v>
      </c>
      <c r="L40" s="150"/>
    </row>
    <row r="41" spans="2:22" x14ac:dyDescent="0.3">
      <c r="C41" s="89">
        <f t="shared" si="7"/>
        <v>2022</v>
      </c>
      <c r="D41" s="20">
        <f>I12</f>
        <v>357.50000000000006</v>
      </c>
      <c r="E41" s="20">
        <f t="shared" si="8"/>
        <v>175</v>
      </c>
      <c r="F41" s="90">
        <f t="shared" si="8"/>
        <v>525</v>
      </c>
      <c r="H41" s="89">
        <f t="shared" si="9"/>
        <v>2022</v>
      </c>
      <c r="I41" s="20">
        <f t="shared" si="6"/>
        <v>357.50000000000006</v>
      </c>
      <c r="J41" s="20">
        <f t="shared" si="6"/>
        <v>175</v>
      </c>
      <c r="K41" s="90">
        <f t="shared" si="6"/>
        <v>525</v>
      </c>
      <c r="L41" s="150"/>
    </row>
    <row r="42" spans="2:22" ht="15" thickBot="1" x14ac:dyDescent="0.35">
      <c r="C42" s="93">
        <f t="shared" si="7"/>
        <v>2023</v>
      </c>
      <c r="D42" s="91">
        <f>I13</f>
        <v>440.00000000000006</v>
      </c>
      <c r="E42" s="91">
        <f t="shared" si="8"/>
        <v>212.5</v>
      </c>
      <c r="F42" s="92">
        <f t="shared" si="8"/>
        <v>630</v>
      </c>
      <c r="H42" s="93">
        <f t="shared" si="9"/>
        <v>2023</v>
      </c>
      <c r="I42" s="91">
        <f t="shared" si="6"/>
        <v>440.00000000000006</v>
      </c>
      <c r="J42" s="91">
        <f t="shared" si="6"/>
        <v>212.5</v>
      </c>
      <c r="K42" s="92">
        <f t="shared" si="6"/>
        <v>630</v>
      </c>
      <c r="L42" s="150"/>
    </row>
    <row r="43" spans="2:22" x14ac:dyDescent="0.3">
      <c r="C43" s="77" t="s">
        <v>8</v>
      </c>
      <c r="D43" s="76">
        <f>AVERAGE(D38:D42)</f>
        <v>275</v>
      </c>
      <c r="E43" s="76">
        <f>AVERAGE(E38:E42)</f>
        <v>137.5</v>
      </c>
      <c r="F43" s="76">
        <f>AVERAGE(F38:F42)</f>
        <v>420</v>
      </c>
      <c r="H43" s="77" t="s">
        <v>8</v>
      </c>
      <c r="I43" s="76">
        <f>AVERAGE(I38:I42)</f>
        <v>275</v>
      </c>
      <c r="J43" s="76">
        <f>AVERAGE(J38:J42)</f>
        <v>137.5</v>
      </c>
      <c r="K43" s="76">
        <f>AVERAGE(K38:K42)</f>
        <v>420</v>
      </c>
      <c r="L43" s="150"/>
    </row>
    <row r="44" spans="2:22" x14ac:dyDescent="0.3">
      <c r="C44" s="77" t="s">
        <v>33</v>
      </c>
      <c r="D44" s="76">
        <f>D43</f>
        <v>275</v>
      </c>
      <c r="E44" s="76">
        <f>E43-(cálculos!J21/3)</f>
        <v>112.5</v>
      </c>
      <c r="F44" s="76">
        <f>F43-(2*cálculos!J21/3)</f>
        <v>370</v>
      </c>
      <c r="H44" s="16" t="s">
        <v>33</v>
      </c>
      <c r="I44" s="20">
        <f>I43</f>
        <v>275</v>
      </c>
      <c r="J44" s="20">
        <f>J43-(cálculos!J21/3)</f>
        <v>112.5</v>
      </c>
      <c r="K44" s="20">
        <f>K43-(2*cálculos!J21/3)</f>
        <v>370</v>
      </c>
      <c r="L44" s="150"/>
    </row>
    <row r="45" spans="2:22" ht="18" x14ac:dyDescent="0.3">
      <c r="C45" s="82" t="s">
        <v>34</v>
      </c>
      <c r="D45" s="83">
        <f>D44-AVERAGE(D44:F44)</f>
        <v>22.5</v>
      </c>
      <c r="E45" s="83">
        <f>E44-AVERAGE(D44:F44)</f>
        <v>-140</v>
      </c>
      <c r="F45" s="83">
        <f>F44-AVERAGE(D44:F44)</f>
        <v>117.5</v>
      </c>
      <c r="H45" s="82" t="s">
        <v>34</v>
      </c>
      <c r="I45" s="99">
        <f>I44/AVERAGE(I44:K44)</f>
        <v>1.0891089108910892</v>
      </c>
      <c r="J45" s="99">
        <f>J44/AVERAGE(I44:K44)</f>
        <v>0.44554455445544555</v>
      </c>
      <c r="K45" s="99">
        <f>K44/AVERAGE(I44:K44)</f>
        <v>1.4653465346534653</v>
      </c>
      <c r="L45" s="154"/>
    </row>
    <row r="46" spans="2:22" ht="18" x14ac:dyDescent="0.3">
      <c r="C46" s="84"/>
      <c r="D46" s="85"/>
      <c r="E46" s="85"/>
      <c r="F46" s="85"/>
      <c r="H46" s="84"/>
      <c r="I46" s="85"/>
      <c r="J46" s="85"/>
      <c r="K46" s="85"/>
      <c r="L46" s="85"/>
    </row>
    <row r="48" spans="2:22" ht="15" thickBot="1" x14ac:dyDescent="0.35">
      <c r="C48" s="131" t="s">
        <v>31</v>
      </c>
      <c r="D48" s="131"/>
      <c r="E48" s="131"/>
      <c r="F48" s="131"/>
      <c r="H48" s="131" t="s">
        <v>32</v>
      </c>
      <c r="I48" s="131"/>
      <c r="J48" s="131"/>
      <c r="K48" s="131"/>
      <c r="L48" s="86"/>
    </row>
    <row r="49" spans="3:12" ht="18" x14ac:dyDescent="0.3">
      <c r="C49" s="94" t="s">
        <v>37</v>
      </c>
      <c r="D49" s="87" t="s">
        <v>1</v>
      </c>
      <c r="E49" s="87" t="s">
        <v>2</v>
      </c>
      <c r="F49" s="88" t="s">
        <v>0</v>
      </c>
      <c r="H49" s="94" t="s">
        <v>38</v>
      </c>
      <c r="I49" s="87" t="s">
        <v>1</v>
      </c>
      <c r="J49" s="87" t="s">
        <v>2</v>
      </c>
      <c r="K49" s="88" t="s">
        <v>0</v>
      </c>
      <c r="L49" s="149"/>
    </row>
    <row r="50" spans="3:12" x14ac:dyDescent="0.3">
      <c r="C50" s="89">
        <f>H9</f>
        <v>2019</v>
      </c>
      <c r="D50" s="20">
        <f t="shared" ref="D50:F54" si="10">I9-D29</f>
        <v>7.5000000000000142</v>
      </c>
      <c r="E50" s="20">
        <f t="shared" si="10"/>
        <v>-65</v>
      </c>
      <c r="F50" s="90">
        <f t="shared" si="10"/>
        <v>57.5</v>
      </c>
      <c r="H50" s="89">
        <f>H9</f>
        <v>2019</v>
      </c>
      <c r="I50" s="20">
        <f t="shared" ref="I50:K54" si="11">I9/D29</f>
        <v>1.0731707317073171</v>
      </c>
      <c r="J50" s="20">
        <f t="shared" si="11"/>
        <v>0.49019607843137253</v>
      </c>
      <c r="K50" s="90">
        <f t="shared" si="11"/>
        <v>1.3770491803278688</v>
      </c>
      <c r="L50" s="150"/>
    </row>
    <row r="51" spans="3:12" x14ac:dyDescent="0.3">
      <c r="C51" s="89">
        <f t="shared" ref="C51:C54" si="12">H10</f>
        <v>2020</v>
      </c>
      <c r="D51" s="20">
        <f t="shared" si="10"/>
        <v>15.000000000000028</v>
      </c>
      <c r="E51" s="20">
        <f t="shared" si="10"/>
        <v>-102.5</v>
      </c>
      <c r="F51" s="90">
        <f t="shared" si="10"/>
        <v>87.5</v>
      </c>
      <c r="H51" s="89">
        <f t="shared" ref="H51:H54" si="13">H10</f>
        <v>2020</v>
      </c>
      <c r="I51" s="20">
        <f t="shared" si="11"/>
        <v>1.0845070422535212</v>
      </c>
      <c r="J51" s="20">
        <f t="shared" si="11"/>
        <v>0.49382716049382713</v>
      </c>
      <c r="K51" s="90">
        <f t="shared" si="11"/>
        <v>1.3846153846153846</v>
      </c>
      <c r="L51" s="150"/>
    </row>
    <row r="52" spans="3:12" x14ac:dyDescent="0.3">
      <c r="C52" s="89">
        <f t="shared" si="12"/>
        <v>2021</v>
      </c>
      <c r="D52" s="20">
        <f t="shared" si="10"/>
        <v>22.5</v>
      </c>
      <c r="E52" s="20">
        <f t="shared" si="10"/>
        <v>-140</v>
      </c>
      <c r="F52" s="90">
        <f t="shared" si="10"/>
        <v>117.5</v>
      </c>
      <c r="H52" s="89">
        <f t="shared" si="13"/>
        <v>2021</v>
      </c>
      <c r="I52" s="20">
        <f t="shared" si="11"/>
        <v>1.0891089108910892</v>
      </c>
      <c r="J52" s="20">
        <f t="shared" si="11"/>
        <v>0.49549549549549549</v>
      </c>
      <c r="K52" s="90">
        <f t="shared" si="11"/>
        <v>1.3884297520661157</v>
      </c>
      <c r="L52" s="150"/>
    </row>
    <row r="53" spans="3:12" x14ac:dyDescent="0.3">
      <c r="C53" s="89">
        <f t="shared" si="12"/>
        <v>2022</v>
      </c>
      <c r="D53" s="20">
        <f t="shared" si="10"/>
        <v>30.000000000000057</v>
      </c>
      <c r="E53" s="20">
        <f t="shared" si="10"/>
        <v>-177.5</v>
      </c>
      <c r="F53" s="90">
        <f t="shared" si="10"/>
        <v>147.5</v>
      </c>
      <c r="H53" s="89">
        <f t="shared" si="13"/>
        <v>2022</v>
      </c>
      <c r="I53" s="20">
        <f t="shared" si="11"/>
        <v>1.0916030534351147</v>
      </c>
      <c r="J53" s="20">
        <f t="shared" si="11"/>
        <v>0.49645390070921985</v>
      </c>
      <c r="K53" s="90">
        <f t="shared" si="11"/>
        <v>1.3907284768211921</v>
      </c>
      <c r="L53" s="150"/>
    </row>
    <row r="54" spans="3:12" ht="15" thickBot="1" x14ac:dyDescent="0.35">
      <c r="C54" s="93">
        <f t="shared" si="12"/>
        <v>2023</v>
      </c>
      <c r="D54" s="91">
        <f t="shared" si="10"/>
        <v>37.500000000000057</v>
      </c>
      <c r="E54" s="91">
        <f t="shared" si="10"/>
        <v>-215</v>
      </c>
      <c r="F54" s="92">
        <f t="shared" si="10"/>
        <v>177.5</v>
      </c>
      <c r="H54" s="93">
        <f t="shared" si="13"/>
        <v>2023</v>
      </c>
      <c r="I54" s="91">
        <f t="shared" si="11"/>
        <v>1.0931677018633541</v>
      </c>
      <c r="J54" s="91">
        <f t="shared" si="11"/>
        <v>0.49707602339181284</v>
      </c>
      <c r="K54" s="92">
        <f t="shared" si="11"/>
        <v>1.3922651933701657</v>
      </c>
      <c r="L54" s="150"/>
    </row>
    <row r="55" spans="3:12" x14ac:dyDescent="0.3">
      <c r="C55" s="76" t="s">
        <v>8</v>
      </c>
      <c r="D55" s="76">
        <f>AVERAGE(D50:D54)</f>
        <v>22.500000000000032</v>
      </c>
      <c r="E55" s="76">
        <f>AVERAGE(E50:E54)</f>
        <v>-140</v>
      </c>
      <c r="F55" s="76">
        <f>AVERAGE(F50:F54)</f>
        <v>117.5</v>
      </c>
      <c r="H55" s="76" t="s">
        <v>8</v>
      </c>
      <c r="I55" s="76">
        <f>AVERAGE(I50:I54)</f>
        <v>1.0863114880300793</v>
      </c>
      <c r="J55" s="76">
        <f>AVERAGE(J50:J54)</f>
        <v>0.49460973170434563</v>
      </c>
      <c r="K55" s="76">
        <f>AVERAGE(K50:K54)</f>
        <v>1.3866175974401453</v>
      </c>
      <c r="L55" s="150"/>
    </row>
    <row r="56" spans="3:12" ht="18" x14ac:dyDescent="0.3">
      <c r="C56" s="82" t="s">
        <v>34</v>
      </c>
      <c r="D56" s="83">
        <f>D55-AVERAGE(D55:F55)</f>
        <v>22.500000000000032</v>
      </c>
      <c r="E56" s="83">
        <f>E55-AVERAGE(D55:F55)</f>
        <v>-140</v>
      </c>
      <c r="F56" s="83">
        <f>F55-AVERAGE(D55:F55)</f>
        <v>117.5</v>
      </c>
      <c r="H56" s="82" t="s">
        <v>34</v>
      </c>
      <c r="I56" s="99">
        <f>I55/AVERAGE(I55:K55)</f>
        <v>1.0981943842585047</v>
      </c>
      <c r="J56" s="99">
        <f>J55/AVERAGE(I55:K55)</f>
        <v>0.50002014683865492</v>
      </c>
      <c r="K56" s="99">
        <f>K55/AVERAGE(I55:K55)</f>
        <v>1.4017854689028408</v>
      </c>
      <c r="L56" s="154"/>
    </row>
    <row r="59" spans="3:12" ht="15" thickBot="1" x14ac:dyDescent="0.35">
      <c r="C59" s="131" t="s">
        <v>35</v>
      </c>
      <c r="D59" s="131"/>
      <c r="E59" s="131"/>
      <c r="F59" s="131"/>
      <c r="H59" s="131" t="s">
        <v>36</v>
      </c>
      <c r="I59" s="131"/>
      <c r="J59" s="131"/>
      <c r="K59" s="131"/>
      <c r="L59" s="86"/>
    </row>
    <row r="60" spans="3:12" ht="18" x14ac:dyDescent="0.3">
      <c r="C60" s="94" t="s">
        <v>37</v>
      </c>
      <c r="D60" s="87" t="s">
        <v>1</v>
      </c>
      <c r="E60" s="87" t="s">
        <v>2</v>
      </c>
      <c r="F60" s="88" t="s">
        <v>0</v>
      </c>
      <c r="H60" s="94" t="s">
        <v>38</v>
      </c>
      <c r="I60" s="87" t="s">
        <v>1</v>
      </c>
      <c r="J60" s="87" t="s">
        <v>2</v>
      </c>
      <c r="K60" s="88" t="s">
        <v>0</v>
      </c>
      <c r="L60" s="149"/>
    </row>
    <row r="61" spans="3:12" x14ac:dyDescent="0.3">
      <c r="C61" s="89">
        <f>H9</f>
        <v>2019</v>
      </c>
      <c r="D61" s="20"/>
      <c r="E61" s="20">
        <f t="shared" ref="E61:F64" si="14">J9-J29</f>
        <v>-65</v>
      </c>
      <c r="F61" s="90">
        <f t="shared" si="14"/>
        <v>55</v>
      </c>
      <c r="H61" s="89">
        <f>H9</f>
        <v>2019</v>
      </c>
      <c r="I61" s="20"/>
      <c r="J61" s="20">
        <f t="shared" ref="J61:K64" si="15">J9/J29</f>
        <v>0.49019607843137253</v>
      </c>
      <c r="K61" s="90">
        <f t="shared" si="15"/>
        <v>1.3548387096774193</v>
      </c>
      <c r="L61" s="150"/>
    </row>
    <row r="62" spans="3:12" x14ac:dyDescent="0.3">
      <c r="C62" s="89">
        <f t="shared" ref="C62:C65" si="16">H10</f>
        <v>2020</v>
      </c>
      <c r="D62" s="20">
        <f>I10-I30</f>
        <v>25.000000000000028</v>
      </c>
      <c r="E62" s="20">
        <f t="shared" si="14"/>
        <v>-102.5</v>
      </c>
      <c r="F62" s="90">
        <f t="shared" si="14"/>
        <v>85</v>
      </c>
      <c r="H62" s="89">
        <f t="shared" ref="H62:H65" si="17">H10</f>
        <v>2020</v>
      </c>
      <c r="I62" s="20">
        <f>I10/I30</f>
        <v>1.1492537313432838</v>
      </c>
      <c r="J62" s="20">
        <f t="shared" si="15"/>
        <v>0.49382716049382713</v>
      </c>
      <c r="K62" s="90">
        <f t="shared" si="15"/>
        <v>1.3695652173913044</v>
      </c>
      <c r="L62" s="150"/>
    </row>
    <row r="63" spans="3:12" x14ac:dyDescent="0.3">
      <c r="C63" s="89">
        <f t="shared" si="16"/>
        <v>2021</v>
      </c>
      <c r="D63" s="20">
        <f>I11-I31</f>
        <v>32.5</v>
      </c>
      <c r="E63" s="20">
        <f t="shared" si="14"/>
        <v>-140</v>
      </c>
      <c r="F63" s="90">
        <f t="shared" si="14"/>
        <v>115</v>
      </c>
      <c r="H63" s="89">
        <f t="shared" si="17"/>
        <v>2021</v>
      </c>
      <c r="I63" s="20">
        <f>I11/I31</f>
        <v>1.134020618556701</v>
      </c>
      <c r="J63" s="20">
        <f t="shared" si="15"/>
        <v>0.49549549549549549</v>
      </c>
      <c r="K63" s="90">
        <f t="shared" si="15"/>
        <v>1.3770491803278688</v>
      </c>
      <c r="L63" s="150"/>
    </row>
    <row r="64" spans="3:12" x14ac:dyDescent="0.3">
      <c r="C64" s="89">
        <f t="shared" si="16"/>
        <v>2022</v>
      </c>
      <c r="D64" s="20">
        <f>I12-I32</f>
        <v>40.000000000000057</v>
      </c>
      <c r="E64" s="20">
        <f t="shared" si="14"/>
        <v>-177.5</v>
      </c>
      <c r="F64" s="90">
        <f t="shared" si="14"/>
        <v>145</v>
      </c>
      <c r="H64" s="89">
        <f t="shared" si="17"/>
        <v>2022</v>
      </c>
      <c r="I64" s="20">
        <f>I12/I32</f>
        <v>1.1259842519685042</v>
      </c>
      <c r="J64" s="20">
        <f t="shared" si="15"/>
        <v>0.49645390070921985</v>
      </c>
      <c r="K64" s="90">
        <f t="shared" si="15"/>
        <v>1.381578947368421</v>
      </c>
      <c r="L64" s="150"/>
    </row>
    <row r="65" spans="1:24" ht="15" thickBot="1" x14ac:dyDescent="0.35">
      <c r="C65" s="93">
        <f t="shared" si="16"/>
        <v>2023</v>
      </c>
      <c r="D65" s="91">
        <f>I13-I33</f>
        <v>47.500000000000057</v>
      </c>
      <c r="E65" s="91">
        <f>J13-J33</f>
        <v>-215</v>
      </c>
      <c r="F65" s="92"/>
      <c r="H65" s="93">
        <f t="shared" si="17"/>
        <v>2023</v>
      </c>
      <c r="I65" s="91">
        <f>I13/I33</f>
        <v>1.121019108280255</v>
      </c>
      <c r="J65" s="91">
        <f>J13/J33</f>
        <v>0.49707602339181284</v>
      </c>
      <c r="K65" s="92"/>
      <c r="L65" s="150"/>
    </row>
    <row r="66" spans="1:24" x14ac:dyDescent="0.3">
      <c r="C66" s="76" t="s">
        <v>8</v>
      </c>
      <c r="D66" s="76">
        <f>AVERAGE(D61:D65)</f>
        <v>36.250000000000036</v>
      </c>
      <c r="E66" s="76">
        <f>AVERAGE(E61:E65)</f>
        <v>-140</v>
      </c>
      <c r="F66" s="76">
        <f>AVERAGE(F61:F65)</f>
        <v>100</v>
      </c>
      <c r="H66" s="76" t="s">
        <v>8</v>
      </c>
      <c r="I66" s="76">
        <f>AVERAGE(I61:I65)</f>
        <v>1.132569427537186</v>
      </c>
      <c r="J66" s="76">
        <f>AVERAGE(J61:J65)</f>
        <v>0.49460973170434563</v>
      </c>
      <c r="K66" s="76">
        <f>AVERAGE(K61:K65)</f>
        <v>1.3707580136912534</v>
      </c>
      <c r="L66" s="150"/>
    </row>
    <row r="67" spans="1:24" ht="18" x14ac:dyDescent="0.3">
      <c r="C67" s="82" t="s">
        <v>34</v>
      </c>
      <c r="D67" s="83">
        <f>D66-AVERAGE(D66:F66)</f>
        <v>37.500000000000028</v>
      </c>
      <c r="E67" s="83">
        <f>E66-AVERAGE(D66:F66)</f>
        <v>-138.75</v>
      </c>
      <c r="F67" s="83">
        <f>F66-AVERAGE(D66:F66)</f>
        <v>101.24999999999999</v>
      </c>
      <c r="H67" s="82" t="s">
        <v>34</v>
      </c>
      <c r="I67" s="99">
        <f>I66/AVERAGE(I66:K66)</f>
        <v>1.1333487283483297</v>
      </c>
      <c r="J67" s="99">
        <f>J66/AVERAGE(I66:K66)</f>
        <v>0.49495006383387774</v>
      </c>
      <c r="K67" s="99">
        <f>K66/AVERAGE(I66:K66)</f>
        <v>1.3717012078177928</v>
      </c>
      <c r="L67" s="154"/>
    </row>
    <row r="71" spans="1:24" x14ac:dyDescent="0.3">
      <c r="A71" s="101">
        <v>1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</row>
    <row r="73" spans="1:24" x14ac:dyDescent="0.3">
      <c r="X73" s="101"/>
    </row>
  </sheetData>
  <sheetProtection algorithmName="SHA-512" hashValue="LRAJLT3Ut0gnHqCcQN5XMI0ap/B2k2y1bfHyKdR9ijOOd7NsSW7zIGVTaPPxsmzeryygCBobX/85Th9HD2Rxvg==" saltValue="RDuoKSprCR0BiJQUbhVawg==" spinCount="100000" sheet="1" objects="1" scenarios="1" formatColumns="0" selectLockedCells="1"/>
  <mergeCells count="19">
    <mergeCell ref="N2:S3"/>
    <mergeCell ref="N4:S5"/>
    <mergeCell ref="N7:Q7"/>
    <mergeCell ref="C59:F59"/>
    <mergeCell ref="H59:K59"/>
    <mergeCell ref="H3:K3"/>
    <mergeCell ref="C7:F7"/>
    <mergeCell ref="C5:D6"/>
    <mergeCell ref="C2:E3"/>
    <mergeCell ref="C48:F48"/>
    <mergeCell ref="H48:K48"/>
    <mergeCell ref="I4:I5"/>
    <mergeCell ref="J4:J5"/>
    <mergeCell ref="K4:K5"/>
    <mergeCell ref="H4:H5"/>
    <mergeCell ref="C36:F36"/>
    <mergeCell ref="H36:K36"/>
    <mergeCell ref="H7:K7"/>
    <mergeCell ref="D26:E2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1</xdr:col>
                    <xdr:colOff>152400</xdr:colOff>
                    <xdr:row>1</xdr:row>
                    <xdr:rowOff>38100</xdr:rowOff>
                  </from>
                  <to>
                    <xdr:col>1</xdr:col>
                    <xdr:colOff>449580</xdr:colOff>
                    <xdr:row>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13</xdr:col>
                    <xdr:colOff>205740</xdr:colOff>
                    <xdr:row>14</xdr:row>
                    <xdr:rowOff>114300</xdr:rowOff>
                  </from>
                  <to>
                    <xdr:col>14</xdr:col>
                    <xdr:colOff>922020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13</xdr:col>
                    <xdr:colOff>205740</xdr:colOff>
                    <xdr:row>15</xdr:row>
                    <xdr:rowOff>60960</xdr:rowOff>
                  </from>
                  <to>
                    <xdr:col>14</xdr:col>
                    <xdr:colOff>922020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13</xdr:col>
                    <xdr:colOff>205740</xdr:colOff>
                    <xdr:row>15</xdr:row>
                    <xdr:rowOff>220980</xdr:rowOff>
                  </from>
                  <to>
                    <xdr:col>14</xdr:col>
                    <xdr:colOff>914400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Spinner 8">
              <controlPr defaultSize="0" autoPict="0">
                <anchor moveWithCells="1" sizeWithCells="1">
                  <from>
                    <xdr:col>12</xdr:col>
                    <xdr:colOff>297180</xdr:colOff>
                    <xdr:row>1</xdr:row>
                    <xdr:rowOff>30480</xdr:rowOff>
                  </from>
                  <to>
                    <xdr:col>13</xdr:col>
                    <xdr:colOff>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13</xdr:col>
                    <xdr:colOff>205740</xdr:colOff>
                    <xdr:row>16</xdr:row>
                    <xdr:rowOff>30480</xdr:rowOff>
                  </from>
                  <to>
                    <xdr:col>15</xdr:col>
                    <xdr:colOff>563880</xdr:colOff>
                    <xdr:row>17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9"/>
  <sheetViews>
    <sheetView zoomScale="70" zoomScaleNormal="70" workbookViewId="0">
      <selection activeCell="B33" sqref="B33"/>
    </sheetView>
  </sheetViews>
  <sheetFormatPr baseColWidth="10" defaultRowHeight="14.4" x14ac:dyDescent="0.3"/>
  <cols>
    <col min="1" max="1" width="4.109375" customWidth="1"/>
    <col min="2" max="2" width="19.6640625" bestFit="1" customWidth="1"/>
    <col min="3" max="3" width="16.109375" bestFit="1" customWidth="1"/>
    <col min="4" max="4" width="14.6640625" bestFit="1" customWidth="1"/>
    <col min="5" max="5" width="19.88671875" bestFit="1" customWidth="1"/>
    <col min="6" max="6" width="19.88671875" customWidth="1"/>
    <col min="7" max="7" width="19.88671875" bestFit="1" customWidth="1"/>
    <col min="8" max="8" width="12" customWidth="1"/>
    <col min="9" max="9" width="3.5546875" customWidth="1"/>
    <col min="10" max="10" width="11.88671875" customWidth="1"/>
    <col min="11" max="12" width="19.88671875" bestFit="1" customWidth="1"/>
  </cols>
  <sheetData>
    <row r="1" spans="2:6" x14ac:dyDescent="0.3">
      <c r="C1" t="b">
        <v>1</v>
      </c>
      <c r="D1" t="b">
        <v>0</v>
      </c>
      <c r="E1" t="b">
        <v>0</v>
      </c>
      <c r="F1" t="b">
        <v>1</v>
      </c>
    </row>
    <row r="2" spans="2:6" x14ac:dyDescent="0.3">
      <c r="B2" s="3" t="s">
        <v>6</v>
      </c>
      <c r="C2" s="1" t="s">
        <v>3</v>
      </c>
      <c r="D2" s="3" t="s">
        <v>7</v>
      </c>
      <c r="E2" s="3" t="s">
        <v>25</v>
      </c>
      <c r="F2" s="3" t="s">
        <v>47</v>
      </c>
    </row>
    <row r="3" spans="2:6" x14ac:dyDescent="0.3">
      <c r="B3" s="1" t="str">
        <f>CONCATENATE('MODELOS DE SERIES TEMPORALES'!I$8,"/",'MODELOS DE SERIES TEMPORALES'!$H9)</f>
        <v>1º Cuatrimestre/2019</v>
      </c>
      <c r="C3" s="3">
        <f>IF(C1=TRUE,D21,"")</f>
        <v>110.00000000000001</v>
      </c>
      <c r="D3" s="3" t="str">
        <f>IF(D1=TRUE,C29,"")</f>
        <v/>
      </c>
      <c r="E3" s="1"/>
      <c r="F3" s="80"/>
    </row>
    <row r="4" spans="2:6" x14ac:dyDescent="0.3">
      <c r="B4" s="1" t="str">
        <f>CONCATENATE('MODELOS DE SERIES TEMPORALES'!J$8,"/",'MODELOS DE SERIES TEMPORALES'!$H9)</f>
        <v>2º Cuatrimestre/2019</v>
      </c>
      <c r="C4" s="3">
        <f>IF(C1=TRUE,E21,"")</f>
        <v>62.5</v>
      </c>
      <c r="D4" s="3" t="str">
        <f>IF(D1=TRUE,D29,"")</f>
        <v/>
      </c>
      <c r="E4" s="80" t="str">
        <f>IF(E1=TRUE,D37,"")</f>
        <v/>
      </c>
      <c r="F4" s="80">
        <f>IF(F$1=TRUE,D45,"")</f>
        <v>-12.5</v>
      </c>
    </row>
    <row r="5" spans="2:6" x14ac:dyDescent="0.3">
      <c r="B5" s="1" t="str">
        <f>CONCATENATE('MODELOS DE SERIES TEMPORALES'!K$8,"/",'MODELOS DE SERIES TEMPORALES'!$H9)</f>
        <v>3º Cuatrimestre/2019</v>
      </c>
      <c r="C5" s="3">
        <f>IF(C1=TRUE,F21,"")</f>
        <v>210</v>
      </c>
      <c r="D5" s="3" t="str">
        <f>IF(D1=TRUE,E29,"")</f>
        <v/>
      </c>
      <c r="E5" s="1" t="str">
        <f>IF(E1=TRUE,E37,"")</f>
        <v/>
      </c>
      <c r="F5" s="80">
        <f>IF(F$1=TRUE,E45,"")</f>
        <v>270</v>
      </c>
    </row>
    <row r="6" spans="2:6" x14ac:dyDescent="0.3">
      <c r="B6" s="1" t="str">
        <f>CONCATENATE('MODELOS DE SERIES TEMPORALES'!I$8,"/",'MODELOS DE SERIES TEMPORALES'!$H10)</f>
        <v>1º Cuatrimestre/2020</v>
      </c>
      <c r="C6" s="3">
        <f>IF(C1=TRUE,D22,"")</f>
        <v>192.50000000000003</v>
      </c>
      <c r="D6" s="3" t="str">
        <f>IF(D1=TRUE,C30,"")</f>
        <v/>
      </c>
      <c r="E6" s="1" t="str">
        <f>IF(E1=TRUE,C38,"")</f>
        <v/>
      </c>
      <c r="F6" s="80">
        <f>IF(F$1=TRUE,C46,"")</f>
        <v>200</v>
      </c>
    </row>
    <row r="7" spans="2:6" x14ac:dyDescent="0.3">
      <c r="B7" s="1" t="str">
        <f>CONCATENATE('MODELOS DE SERIES TEMPORALES'!J$8,"/",'MODELOS DE SERIES TEMPORALES'!$H10)</f>
        <v>2º Cuatrimestre/2020</v>
      </c>
      <c r="C7" s="3">
        <f>IF(C1=TRUE,E22,"")</f>
        <v>100</v>
      </c>
      <c r="D7" s="3" t="str">
        <f>IF(D1=TRUE,D30,"")</f>
        <v/>
      </c>
      <c r="E7" s="1" t="str">
        <f>IF(E1=TRUE,D38,"")</f>
        <v/>
      </c>
      <c r="F7" s="80">
        <f>IF(F$1=TRUE,D46,"")</f>
        <v>62.5</v>
      </c>
    </row>
    <row r="8" spans="2:6" x14ac:dyDescent="0.3">
      <c r="B8" s="1" t="str">
        <f>CONCATENATE('MODELOS DE SERIES TEMPORALES'!K$8,"/",'MODELOS DE SERIES TEMPORALES'!$H10)</f>
        <v>3º Cuatrimestre/2020</v>
      </c>
      <c r="C8" s="3">
        <f>IF(C1=TRUE,F22,"")</f>
        <v>315</v>
      </c>
      <c r="D8" s="3" t="str">
        <f>IF(D1=TRUE,E30,"")</f>
        <v/>
      </c>
      <c r="E8" s="1" t="str">
        <f>IF(E1=TRUE,E38,"")</f>
        <v/>
      </c>
      <c r="F8" s="80">
        <f>IF(F$1=TRUE,E46,"")</f>
        <v>345</v>
      </c>
    </row>
    <row r="9" spans="2:6" x14ac:dyDescent="0.3">
      <c r="B9" s="1" t="str">
        <f>CONCATENATE('MODELOS DE SERIES TEMPORALES'!I$8,"/",'MODELOS DE SERIES TEMPORALES'!$H11)</f>
        <v>1º Cuatrimestre/2021</v>
      </c>
      <c r="C9" s="3">
        <f>IF(C1=TRUE,D23,"")</f>
        <v>275</v>
      </c>
      <c r="D9" s="3" t="str">
        <f>IF(D1=TRUE,C31,"")</f>
        <v/>
      </c>
      <c r="E9" s="1" t="str">
        <f>IF(E1=TRUE,C39,"")</f>
        <v/>
      </c>
      <c r="F9" s="80">
        <f>IF(F$1=TRUE,C47,"")</f>
        <v>275</v>
      </c>
    </row>
    <row r="10" spans="2:6" x14ac:dyDescent="0.3">
      <c r="B10" s="1" t="str">
        <f>CONCATENATE('MODELOS DE SERIES TEMPORALES'!J$8,"/",'MODELOS DE SERIES TEMPORALES'!$H11)</f>
        <v>2º Cuatrimestre/2021</v>
      </c>
      <c r="C10" s="3">
        <f>IF(C1=TRUE,E23,"")</f>
        <v>137.5</v>
      </c>
      <c r="D10" s="3" t="str">
        <f>IF(D1=TRUE,D31,"")</f>
        <v/>
      </c>
      <c r="E10" s="1" t="str">
        <f>IF(E1=TRUE,D39,"")</f>
        <v/>
      </c>
      <c r="F10" s="80">
        <f>IF(F$1=TRUE,D47,"")</f>
        <v>137.5</v>
      </c>
    </row>
    <row r="11" spans="2:6" x14ac:dyDescent="0.3">
      <c r="B11" s="1" t="str">
        <f>CONCATENATE('MODELOS DE SERIES TEMPORALES'!K$8,"/",'MODELOS DE SERIES TEMPORALES'!$H11)</f>
        <v>3º Cuatrimestre/2021</v>
      </c>
      <c r="C11" s="3">
        <f>IF(C1=TRUE,F23,"")</f>
        <v>420</v>
      </c>
      <c r="D11" s="3" t="str">
        <f>IF(D1=TRUE,E31,"")</f>
        <v/>
      </c>
      <c r="E11" s="1" t="str">
        <f>IF(E1=TRUE,E39,"")</f>
        <v/>
      </c>
      <c r="F11" s="80">
        <f>IF(F$1=TRUE,E47,"")</f>
        <v>420</v>
      </c>
    </row>
    <row r="12" spans="2:6" x14ac:dyDescent="0.3">
      <c r="B12" s="1" t="str">
        <f>CONCATENATE('MODELOS DE SERIES TEMPORALES'!I$8,"/",'MODELOS DE SERIES TEMPORALES'!$H12)</f>
        <v>1º Cuatrimestre/2022</v>
      </c>
      <c r="C12" s="3">
        <f>IF(C1=TRUE,D24,"")</f>
        <v>357.50000000000006</v>
      </c>
      <c r="D12" s="3" t="str">
        <f>IF(D1=TRUE,C32,"")</f>
        <v/>
      </c>
      <c r="E12" s="1" t="str">
        <f>IF(E1=TRUE,C40,"")</f>
        <v/>
      </c>
      <c r="F12" s="80">
        <f>IF(F$1=TRUE,C48,"")</f>
        <v>350</v>
      </c>
    </row>
    <row r="13" spans="2:6" x14ac:dyDescent="0.3">
      <c r="B13" s="1" t="str">
        <f>CONCATENATE('MODELOS DE SERIES TEMPORALES'!J$8,"/",'MODELOS DE SERIES TEMPORALES'!$H12)</f>
        <v>2º Cuatrimestre/2022</v>
      </c>
      <c r="C13" s="3">
        <f>IF(C1=TRUE,E24,"")</f>
        <v>175</v>
      </c>
      <c r="D13" s="3" t="str">
        <f>IF(D1=TRUE,D32,"")</f>
        <v/>
      </c>
      <c r="E13" s="1" t="str">
        <f>IF(E1=TRUE,D40,"")</f>
        <v/>
      </c>
      <c r="F13" s="80">
        <f>IF(F$1=TRUE,D48,"")</f>
        <v>212.5</v>
      </c>
    </row>
    <row r="14" spans="2:6" x14ac:dyDescent="0.3">
      <c r="B14" s="1" t="str">
        <f>CONCATENATE('MODELOS DE SERIES TEMPORALES'!K$8,"/",'MODELOS DE SERIES TEMPORALES'!$H12)</f>
        <v>3º Cuatrimestre/2022</v>
      </c>
      <c r="C14" s="3">
        <f>IF(C1=TRUE,F24,"")</f>
        <v>525</v>
      </c>
      <c r="D14" s="3" t="str">
        <f>IF(D1=TRUE,E32,"")</f>
        <v/>
      </c>
      <c r="E14" s="1" t="str">
        <f>IF(E1=TRUE,E40,"")</f>
        <v/>
      </c>
      <c r="F14" s="80">
        <f>IF(F$1=TRUE,E48,"")</f>
        <v>495</v>
      </c>
    </row>
    <row r="15" spans="2:6" x14ac:dyDescent="0.3">
      <c r="B15" s="1" t="str">
        <f>CONCATENATE('MODELOS DE SERIES TEMPORALES'!I$8,"/",'MODELOS DE SERIES TEMPORALES'!$H13)</f>
        <v>1º Cuatrimestre/2023</v>
      </c>
      <c r="C15" s="3">
        <f>IF(C1=TRUE,D25,"")</f>
        <v>440.00000000000006</v>
      </c>
      <c r="D15" s="3" t="str">
        <f>IF(D1=TRUE,C33,"")</f>
        <v/>
      </c>
      <c r="E15" s="1" t="str">
        <f>IF(E1=TRUE,C41,"")</f>
        <v/>
      </c>
      <c r="F15" s="80">
        <f>IF(F$1=TRUE,C49,"")</f>
        <v>425</v>
      </c>
    </row>
    <row r="16" spans="2:6" x14ac:dyDescent="0.3">
      <c r="B16" s="1" t="str">
        <f>CONCATENATE('MODELOS DE SERIES TEMPORALES'!J$8,"/",'MODELOS DE SERIES TEMPORALES'!$H13)</f>
        <v>2º Cuatrimestre/2023</v>
      </c>
      <c r="C16" s="3">
        <f>IF(C1=TRUE,E25,"")</f>
        <v>212.5</v>
      </c>
      <c r="D16" s="3" t="str">
        <f>IF(D1=TRUE,D33,"")</f>
        <v/>
      </c>
      <c r="E16" s="1" t="str">
        <f>IF(E1=TRUE,D41,"")</f>
        <v/>
      </c>
      <c r="F16" s="80">
        <f>IF(F$1=TRUE,D49,"")</f>
        <v>287.5</v>
      </c>
    </row>
    <row r="17" spans="2:11" x14ac:dyDescent="0.3">
      <c r="B17" s="1" t="str">
        <f>CONCATENATE('MODELOS DE SERIES TEMPORALES'!K$8,"/",'MODELOS DE SERIES TEMPORALES'!$H13)</f>
        <v>3º Cuatrimestre/2023</v>
      </c>
      <c r="C17" s="3">
        <f>IF(C1=TRUE,F25,"")</f>
        <v>630</v>
      </c>
      <c r="D17" s="3" t="str">
        <f>IF(D1=TRUE,E33,"")</f>
        <v/>
      </c>
      <c r="E17" s="1"/>
      <c r="F17" s="80"/>
    </row>
    <row r="19" spans="2:11" ht="15" thickBot="1" x14ac:dyDescent="0.35">
      <c r="B19" s="4" t="s">
        <v>11</v>
      </c>
      <c r="H19" s="4" t="s">
        <v>12</v>
      </c>
      <c r="I19" s="4"/>
    </row>
    <row r="20" spans="2:11" x14ac:dyDescent="0.3">
      <c r="B20" s="56" t="str">
        <f>'MODELOS DE SERIES TEMPORALES'!H8</f>
        <v xml:space="preserve">Y(t)     </v>
      </c>
      <c r="C20" s="65" t="s">
        <v>23</v>
      </c>
      <c r="D20" s="59" t="str">
        <f>'MODELOS DE SERIES TEMPORALES'!I8</f>
        <v>1º Cuatrimestre</v>
      </c>
      <c r="E20" s="59" t="str">
        <f>'MODELOS DE SERIES TEMPORALES'!J8</f>
        <v>2º Cuatrimestre</v>
      </c>
      <c r="F20" s="60" t="str">
        <f>'MODELOS DE SERIES TEMPORALES'!K8</f>
        <v>3º Cuatrimestre</v>
      </c>
      <c r="G20" s="65" t="s">
        <v>22</v>
      </c>
      <c r="H20" s="66" t="s">
        <v>8</v>
      </c>
      <c r="I20" s="4"/>
      <c r="J20" s="140" t="s">
        <v>21</v>
      </c>
      <c r="K20" s="141"/>
    </row>
    <row r="21" spans="2:11" x14ac:dyDescent="0.3">
      <c r="B21" s="57">
        <f>'MODELOS DE SERIES TEMPORALES'!H9</f>
        <v>2019</v>
      </c>
      <c r="C21" s="65"/>
      <c r="D21" s="61">
        <f>'MODELOS DE SERIES TEMPORALES'!I9</f>
        <v>110.00000000000001</v>
      </c>
      <c r="E21" s="61">
        <f>'MODELOS DE SERIES TEMPORALES'!J9</f>
        <v>62.5</v>
      </c>
      <c r="F21" s="62">
        <f>'MODELOS DE SERIES TEMPORALES'!K9</f>
        <v>210</v>
      </c>
      <c r="G21" s="65">
        <f>D22</f>
        <v>192.50000000000003</v>
      </c>
      <c r="H21" s="67">
        <f>AVERAGE(D21:F21)</f>
        <v>127.5</v>
      </c>
      <c r="I21" s="4"/>
      <c r="J21" s="52">
        <f>SLOPE(H21:H25,B21:B25)</f>
        <v>75</v>
      </c>
      <c r="K21" s="53" t="s">
        <v>9</v>
      </c>
    </row>
    <row r="22" spans="2:11" ht="15" thickBot="1" x14ac:dyDescent="0.35">
      <c r="B22" s="57">
        <f>'MODELOS DE SERIES TEMPORALES'!H10</f>
        <v>2020</v>
      </c>
      <c r="C22" s="65">
        <f>F21</f>
        <v>210</v>
      </c>
      <c r="D22" s="61">
        <f>'MODELOS DE SERIES TEMPORALES'!I10</f>
        <v>192.50000000000003</v>
      </c>
      <c r="E22" s="61">
        <f>'MODELOS DE SERIES TEMPORALES'!J10</f>
        <v>100</v>
      </c>
      <c r="F22" s="62">
        <f>'MODELOS DE SERIES TEMPORALES'!K10</f>
        <v>315</v>
      </c>
      <c r="G22" s="65">
        <f>D23</f>
        <v>275</v>
      </c>
      <c r="H22" s="67">
        <f>AVERAGE(D22:F22)</f>
        <v>202.5</v>
      </c>
      <c r="I22" s="4"/>
      <c r="J22" s="54">
        <f>INTERCEPT(H21:H25,B21:B25)</f>
        <v>-151297.5</v>
      </c>
      <c r="K22" s="55" t="s">
        <v>10</v>
      </c>
    </row>
    <row r="23" spans="2:11" x14ac:dyDescent="0.3">
      <c r="B23" s="57">
        <f>'MODELOS DE SERIES TEMPORALES'!H11</f>
        <v>2021</v>
      </c>
      <c r="C23" s="65">
        <f>F22</f>
        <v>315</v>
      </c>
      <c r="D23" s="61">
        <f>'MODELOS DE SERIES TEMPORALES'!I11</f>
        <v>275</v>
      </c>
      <c r="E23" s="61">
        <f>'MODELOS DE SERIES TEMPORALES'!J11</f>
        <v>137.5</v>
      </c>
      <c r="F23" s="62">
        <f>'MODELOS DE SERIES TEMPORALES'!K11</f>
        <v>420</v>
      </c>
      <c r="G23" s="65">
        <f>D24</f>
        <v>357.50000000000006</v>
      </c>
      <c r="H23" s="67">
        <f>AVERAGE(D23:F23)</f>
        <v>277.5</v>
      </c>
      <c r="I23" s="4"/>
    </row>
    <row r="24" spans="2:11" x14ac:dyDescent="0.3">
      <c r="B24" s="57">
        <f>'MODELOS DE SERIES TEMPORALES'!H12</f>
        <v>2022</v>
      </c>
      <c r="C24" s="65">
        <f>F23</f>
        <v>420</v>
      </c>
      <c r="D24" s="61">
        <f>'MODELOS DE SERIES TEMPORALES'!I12</f>
        <v>357.50000000000006</v>
      </c>
      <c r="E24" s="61">
        <f>'MODELOS DE SERIES TEMPORALES'!J12</f>
        <v>175</v>
      </c>
      <c r="F24" s="62">
        <f>'MODELOS DE SERIES TEMPORALES'!K12</f>
        <v>525</v>
      </c>
      <c r="G24" s="65">
        <f>D25</f>
        <v>440.00000000000006</v>
      </c>
      <c r="H24" s="67">
        <f>AVERAGE(D24:F24)</f>
        <v>352.5</v>
      </c>
      <c r="I24" s="4"/>
    </row>
    <row r="25" spans="2:11" ht="15" thickBot="1" x14ac:dyDescent="0.35">
      <c r="B25" s="58">
        <f>'MODELOS DE SERIES TEMPORALES'!H13</f>
        <v>2023</v>
      </c>
      <c r="C25" s="65">
        <f>F24</f>
        <v>525</v>
      </c>
      <c r="D25" s="63">
        <f>'MODELOS DE SERIES TEMPORALES'!I13</f>
        <v>440.00000000000006</v>
      </c>
      <c r="E25" s="63">
        <f>'MODELOS DE SERIES TEMPORALES'!J13</f>
        <v>212.5</v>
      </c>
      <c r="F25" s="64">
        <f>'MODELOS DE SERIES TEMPORALES'!K13</f>
        <v>630</v>
      </c>
      <c r="G25" s="65"/>
      <c r="H25" s="68">
        <f>AVERAGE(D25:F25)</f>
        <v>427.5</v>
      </c>
      <c r="I25" s="4"/>
    </row>
    <row r="27" spans="2:11" ht="15" thickBot="1" x14ac:dyDescent="0.35"/>
    <row r="28" spans="2:11" x14ac:dyDescent="0.3">
      <c r="B28" s="12" t="s">
        <v>24</v>
      </c>
      <c r="C28" s="5" t="str">
        <f>D20</f>
        <v>1º Cuatrimestre</v>
      </c>
      <c r="D28" s="5" t="str">
        <f>E20</f>
        <v>2º Cuatrimestre</v>
      </c>
      <c r="E28" s="6" t="str">
        <f>F20</f>
        <v>3º Cuatrimestre</v>
      </c>
      <c r="F28" s="13"/>
    </row>
    <row r="29" spans="2:11" x14ac:dyDescent="0.3">
      <c r="B29" s="7">
        <f>B21</f>
        <v>2019</v>
      </c>
      <c r="C29" s="2">
        <f>D29-($J$21/3)</f>
        <v>102.5</v>
      </c>
      <c r="D29" s="2">
        <f>($J$21*B29)+$J$22</f>
        <v>127.5</v>
      </c>
      <c r="E29" s="8">
        <f>D29+($J$21/3)</f>
        <v>152.5</v>
      </c>
      <c r="F29" s="13"/>
    </row>
    <row r="30" spans="2:11" x14ac:dyDescent="0.3">
      <c r="B30" s="7">
        <f>B22</f>
        <v>2020</v>
      </c>
      <c r="C30" s="2">
        <f>D30-($J$21/3)</f>
        <v>177.5</v>
      </c>
      <c r="D30" s="2">
        <f>($J$21*B30)+$J$22</f>
        <v>202.5</v>
      </c>
      <c r="E30" s="8">
        <f>D30+($J$21/3)</f>
        <v>227.5</v>
      </c>
      <c r="F30" s="13"/>
    </row>
    <row r="31" spans="2:11" x14ac:dyDescent="0.3">
      <c r="B31" s="7">
        <f>B23</f>
        <v>2021</v>
      </c>
      <c r="C31" s="2">
        <f>D31-($J$21/3)</f>
        <v>252.5</v>
      </c>
      <c r="D31" s="2">
        <f>($J$21*B31)+$J$22</f>
        <v>277.5</v>
      </c>
      <c r="E31" s="8">
        <f>D31+($J$21/3)</f>
        <v>302.5</v>
      </c>
      <c r="F31" s="13"/>
    </row>
    <row r="32" spans="2:11" x14ac:dyDescent="0.3">
      <c r="B32" s="7">
        <f>B24</f>
        <v>2022</v>
      </c>
      <c r="C32" s="2">
        <f>D32-($J$21/3)</f>
        <v>327.5</v>
      </c>
      <c r="D32" s="2">
        <f>($J$21*B32)+$J$22</f>
        <v>352.5</v>
      </c>
      <c r="E32" s="8">
        <f>D32+($J$21/3)</f>
        <v>377.5</v>
      </c>
      <c r="F32" s="13"/>
    </row>
    <row r="33" spans="2:6" ht="15" thickBot="1" x14ac:dyDescent="0.35">
      <c r="B33" s="9">
        <f>B25</f>
        <v>2023</v>
      </c>
      <c r="C33" s="10">
        <f>D33-($J$21/3)</f>
        <v>402.5</v>
      </c>
      <c r="D33" s="10">
        <f>($J$21*B33)+$J$22</f>
        <v>427.5</v>
      </c>
      <c r="E33" s="11">
        <f>D33+($J$21/3)</f>
        <v>452.5</v>
      </c>
      <c r="F33" s="13"/>
    </row>
    <row r="35" spans="2:6" ht="15" thickBot="1" x14ac:dyDescent="0.35"/>
    <row r="36" spans="2:6" x14ac:dyDescent="0.3">
      <c r="B36" s="12" t="s">
        <v>26</v>
      </c>
      <c r="C36" s="5" t="str">
        <f>C28</f>
        <v>1º Cuatrimestre</v>
      </c>
      <c r="D36" s="5" t="str">
        <f>D28</f>
        <v>2º Cuatrimestre</v>
      </c>
      <c r="E36" s="6" t="str">
        <f>E28</f>
        <v>3º Cuatrimestre</v>
      </c>
      <c r="F36" s="13"/>
    </row>
    <row r="37" spans="2:6" x14ac:dyDescent="0.3">
      <c r="B37" s="7">
        <f>B29</f>
        <v>2019</v>
      </c>
      <c r="C37" s="2"/>
      <c r="D37" s="2">
        <f t="shared" ref="D37:E40" si="0">AVERAGE(D21:F21)</f>
        <v>127.5</v>
      </c>
      <c r="E37" s="8">
        <f t="shared" si="0"/>
        <v>155</v>
      </c>
      <c r="F37" s="13"/>
    </row>
    <row r="38" spans="2:6" x14ac:dyDescent="0.3">
      <c r="B38" s="7">
        <f>B30</f>
        <v>2020</v>
      </c>
      <c r="C38" s="2">
        <f>AVERAGE(C22:E22)</f>
        <v>167.5</v>
      </c>
      <c r="D38" s="2">
        <f t="shared" si="0"/>
        <v>202.5</v>
      </c>
      <c r="E38" s="8">
        <f t="shared" si="0"/>
        <v>230</v>
      </c>
      <c r="F38" s="13"/>
    </row>
    <row r="39" spans="2:6" x14ac:dyDescent="0.3">
      <c r="B39" s="7">
        <f>B31</f>
        <v>2021</v>
      </c>
      <c r="C39" s="2">
        <f>AVERAGE(C23:E23)</f>
        <v>242.5</v>
      </c>
      <c r="D39" s="2">
        <f t="shared" si="0"/>
        <v>277.5</v>
      </c>
      <c r="E39" s="8">
        <f t="shared" si="0"/>
        <v>305</v>
      </c>
      <c r="F39" s="13"/>
    </row>
    <row r="40" spans="2:6" x14ac:dyDescent="0.3">
      <c r="B40" s="7">
        <f>B32</f>
        <v>2022</v>
      </c>
      <c r="C40" s="2">
        <f>AVERAGE(C24:E24)</f>
        <v>317.5</v>
      </c>
      <c r="D40" s="2">
        <f t="shared" si="0"/>
        <v>352.5</v>
      </c>
      <c r="E40" s="8">
        <f t="shared" si="0"/>
        <v>380</v>
      </c>
      <c r="F40" s="13"/>
    </row>
    <row r="41" spans="2:6" ht="15" thickBot="1" x14ac:dyDescent="0.35">
      <c r="B41" s="9">
        <f>B33</f>
        <v>2023</v>
      </c>
      <c r="C41" s="10">
        <f>AVERAGE(C25:E25)</f>
        <v>392.5</v>
      </c>
      <c r="D41" s="10">
        <f>AVERAGE(D25:F25)</f>
        <v>427.5</v>
      </c>
      <c r="E41" s="11"/>
      <c r="F41" s="13"/>
    </row>
    <row r="43" spans="2:6" ht="15" thickBot="1" x14ac:dyDescent="0.35">
      <c r="B43" s="139" t="s">
        <v>43</v>
      </c>
      <c r="C43" s="139"/>
      <c r="D43" s="139"/>
      <c r="E43" s="139"/>
    </row>
    <row r="44" spans="2:6" ht="18" x14ac:dyDescent="0.3">
      <c r="B44" s="115" t="s">
        <v>44</v>
      </c>
      <c r="C44" s="116" t="s">
        <v>1</v>
      </c>
      <c r="D44" s="116" t="s">
        <v>2</v>
      </c>
      <c r="E44" s="117" t="s">
        <v>0</v>
      </c>
    </row>
    <row r="45" spans="2:6" x14ac:dyDescent="0.3">
      <c r="B45" s="118">
        <v>2014</v>
      </c>
      <c r="C45" s="114">
        <f>'MODELOS DE SERIES TEMPORALES'!O9</f>
        <v>125</v>
      </c>
      <c r="D45" s="114">
        <f>'MODELOS DE SERIES TEMPORALES'!P9</f>
        <v>-12.5</v>
      </c>
      <c r="E45" s="114">
        <f>'MODELOS DE SERIES TEMPORALES'!Q9</f>
        <v>270</v>
      </c>
    </row>
    <row r="46" spans="2:6" x14ac:dyDescent="0.3">
      <c r="B46" s="118">
        <v>2015</v>
      </c>
      <c r="C46" s="114">
        <f>'MODELOS DE SERIES TEMPORALES'!O10</f>
        <v>200</v>
      </c>
      <c r="D46" s="114">
        <f>'MODELOS DE SERIES TEMPORALES'!P10</f>
        <v>62.5</v>
      </c>
      <c r="E46" s="114">
        <f>'MODELOS DE SERIES TEMPORALES'!Q10</f>
        <v>345</v>
      </c>
    </row>
    <row r="47" spans="2:6" x14ac:dyDescent="0.3">
      <c r="B47" s="118">
        <v>2016</v>
      </c>
      <c r="C47" s="114">
        <f>'MODELOS DE SERIES TEMPORALES'!O11</f>
        <v>275</v>
      </c>
      <c r="D47" s="114">
        <f>'MODELOS DE SERIES TEMPORALES'!P11</f>
        <v>137.5</v>
      </c>
      <c r="E47" s="114">
        <f>'MODELOS DE SERIES TEMPORALES'!Q11</f>
        <v>420</v>
      </c>
    </row>
    <row r="48" spans="2:6" x14ac:dyDescent="0.3">
      <c r="B48" s="118">
        <v>2017</v>
      </c>
      <c r="C48" s="114">
        <f>'MODELOS DE SERIES TEMPORALES'!O12</f>
        <v>350</v>
      </c>
      <c r="D48" s="114">
        <f>'MODELOS DE SERIES TEMPORALES'!P12</f>
        <v>212.5</v>
      </c>
      <c r="E48" s="114">
        <f>'MODELOS DE SERIES TEMPORALES'!Q12</f>
        <v>495</v>
      </c>
    </row>
    <row r="49" spans="2:5" ht="15" thickBot="1" x14ac:dyDescent="0.35">
      <c r="B49" s="119">
        <v>2018</v>
      </c>
      <c r="C49" s="114">
        <f>'MODELOS DE SERIES TEMPORALES'!O13</f>
        <v>425</v>
      </c>
      <c r="D49" s="114">
        <f>'MODELOS DE SERIES TEMPORALES'!P13</f>
        <v>287.5</v>
      </c>
      <c r="E49" s="114">
        <f>'MODELOS DE SERIES TEMPORALES'!Q13</f>
        <v>570</v>
      </c>
    </row>
  </sheetData>
  <mergeCells count="2">
    <mergeCell ref="J20:K20"/>
    <mergeCell ref="B43:E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MODELOS DE SERIES TEMPORALES</vt:lpstr>
      <vt:lpstr>cálculos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Alberto</dc:creator>
  <cp:lastModifiedBy>JOSÉ ALBERTO HERMOSO GUTIÉRREZ</cp:lastModifiedBy>
  <dcterms:created xsi:type="dcterms:W3CDTF">2018-10-27T18:21:52Z</dcterms:created>
  <dcterms:modified xsi:type="dcterms:W3CDTF">2023-10-10T09:38:37Z</dcterms:modified>
</cp:coreProperties>
</file>