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fema\Lab\T-Proyectos-Investigación\21. a. Acuerdo\02. Programa Delta\15-Delta en Excel\"/>
    </mc:Choice>
  </mc:AlternateContent>
  <xr:revisionPtr revIDLastSave="0" documentId="13_ncr:1_{3F3981D9-F28D-4DF8-8A47-6F03ED091EF1}" xr6:coauthVersionLast="47" xr6:coauthVersionMax="47" xr10:uidLastSave="{00000000-0000-0000-0000-000000000000}"/>
  <workbookProtection workbookAlgorithmName="SHA-512" workbookHashValue="BHQLfl+HDu3KDa5PKwP75HFhoZX02z54QuEeUQMZMkMlYX+XSXZPRGsaq1v7ANCzByviba2JVUA4dw4ZhY6FUw==" workbookSaltValue="Jxw1NS9Ml0ApYs7jnmvqmw==" workbookSpinCount="100000" lockStructure="1"/>
  <bookViews>
    <workbookView xWindow="-120" yWindow="-120" windowWidth="29040" windowHeight="15525" activeTab="1" xr2:uid="{00000000-000D-0000-FFFF-FFFF00000000}"/>
  </bookViews>
  <sheets>
    <sheet name="Information" sheetId="2" r:id="rId1"/>
    <sheet name="Agreement in tables 2x2" sheetId="4" r:id="rId2"/>
    <sheet name="!" sheetId="1" state="hidden" r:id="rId3"/>
  </sheets>
  <definedNames>
    <definedName name="_xlnm.Print_Area" localSheetId="2">'!'!$C$1:$K$48</definedName>
    <definedName name="C_1" localSheetId="0">#REF!</definedName>
    <definedName name="C_1">#REF!</definedName>
    <definedName name="C_2" localSheetId="0">#REF!</definedName>
    <definedName name="C_2">#REF!</definedName>
    <definedName name="F_1" localSheetId="0">#REF!</definedName>
    <definedName name="F_1">#REF!</definedName>
    <definedName name="F_2" localSheetId="0">#REF!</definedName>
    <definedName name="F_2">#REF!</definedName>
    <definedName name="O_11" localSheetId="0">#REF!</definedName>
    <definedName name="O_11">#REF!</definedName>
    <definedName name="O_12" localSheetId="0">#REF!</definedName>
    <definedName name="O_12">#REF!</definedName>
    <definedName name="O_21" localSheetId="0">#REF!</definedName>
    <definedName name="O_21">#REF!</definedName>
    <definedName name="O_22" localSheetId="0">#REF!</definedName>
    <definedName name="O_22">#REF!</definedName>
    <definedName name="Total" localSheetId="0">#REF!</definedName>
    <definedName name="Total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4" l="1"/>
  <c r="L25" i="4"/>
  <c r="I28" i="4"/>
  <c r="I25" i="4"/>
  <c r="K18" i="1" l="1"/>
  <c r="I18" i="1" s="1"/>
  <c r="G19" i="1"/>
  <c r="E19" i="1" s="1"/>
  <c r="G18" i="1"/>
  <c r="E18" i="1" s="1"/>
  <c r="G17" i="1"/>
  <c r="E17" i="1" s="1"/>
  <c r="AF43" i="1" s="1"/>
  <c r="F30" i="2"/>
  <c r="E10" i="1"/>
  <c r="Q7" i="1" s="1"/>
  <c r="U7" i="1" s="1"/>
  <c r="F11" i="1"/>
  <c r="E11" i="1"/>
  <c r="Q8" i="1" s="1"/>
  <c r="U8" i="1" s="1"/>
  <c r="F10" i="1"/>
  <c r="AF9" i="1"/>
  <c r="K25" i="4" s="1"/>
  <c r="AE9" i="1"/>
  <c r="J25" i="4" s="1"/>
  <c r="AD10" i="1"/>
  <c r="I26" i="4" s="1"/>
  <c r="AD11" i="1"/>
  <c r="I27" i="4" s="1"/>
  <c r="A50" i="4"/>
  <c r="B50" i="4"/>
  <c r="I50" i="4"/>
  <c r="J50" i="4"/>
  <c r="A51" i="4"/>
  <c r="B51" i="4"/>
  <c r="C51" i="4"/>
  <c r="D51" i="4"/>
  <c r="E51" i="4"/>
  <c r="F51" i="4"/>
  <c r="G51" i="4"/>
  <c r="H51" i="4"/>
  <c r="I51" i="4"/>
  <c r="J51" i="4"/>
  <c r="A52" i="4"/>
  <c r="B52" i="4"/>
  <c r="C52" i="4"/>
  <c r="D52" i="4"/>
  <c r="E52" i="4"/>
  <c r="F52" i="4"/>
  <c r="G52" i="4"/>
  <c r="H52" i="4"/>
  <c r="I52" i="4"/>
  <c r="J52" i="4"/>
  <c r="A53" i="4"/>
  <c r="B53" i="4"/>
  <c r="C53" i="4"/>
  <c r="D53" i="4"/>
  <c r="E53" i="4"/>
  <c r="F53" i="4"/>
  <c r="G53" i="4"/>
  <c r="H53" i="4"/>
  <c r="I53" i="4"/>
  <c r="J53" i="4"/>
  <c r="A54" i="4"/>
  <c r="B54" i="4"/>
  <c r="C54" i="4"/>
  <c r="D54" i="4"/>
  <c r="E54" i="4"/>
  <c r="F54" i="4"/>
  <c r="G54" i="4"/>
  <c r="H54" i="4"/>
  <c r="I54" i="4"/>
  <c r="J54" i="4"/>
  <c r="A55" i="4"/>
  <c r="B55" i="4"/>
  <c r="C55" i="4"/>
  <c r="D55" i="4"/>
  <c r="E55" i="4"/>
  <c r="F55" i="4"/>
  <c r="G55" i="4"/>
  <c r="H55" i="4"/>
  <c r="I55" i="4"/>
  <c r="J55" i="4"/>
  <c r="K55" i="4"/>
  <c r="L55" i="4"/>
  <c r="A56" i="4"/>
  <c r="B56" i="4"/>
  <c r="C56" i="4"/>
  <c r="D56" i="4"/>
  <c r="E56" i="4"/>
  <c r="F56" i="4"/>
  <c r="G56" i="4"/>
  <c r="H56" i="4"/>
  <c r="I56" i="4"/>
  <c r="J56" i="4"/>
  <c r="K56" i="4"/>
  <c r="L56" i="4"/>
  <c r="B7" i="4"/>
  <c r="E7" i="4"/>
  <c r="F7" i="4"/>
  <c r="G7" i="4"/>
  <c r="H7" i="4"/>
  <c r="I7" i="4"/>
  <c r="J7" i="4"/>
  <c r="K7" i="4"/>
  <c r="L7" i="4"/>
  <c r="B8" i="4"/>
  <c r="C8" i="4"/>
  <c r="D8" i="4"/>
  <c r="F29" i="2" s="1"/>
  <c r="L8" i="4"/>
  <c r="B9" i="4"/>
  <c r="C9" i="4"/>
  <c r="D9" i="4"/>
  <c r="E9" i="4"/>
  <c r="F9" i="4"/>
  <c r="G9" i="4"/>
  <c r="H9" i="4"/>
  <c r="I9" i="4"/>
  <c r="J9" i="4"/>
  <c r="K9" i="4"/>
  <c r="L9" i="4"/>
  <c r="B10" i="4"/>
  <c r="C10" i="4"/>
  <c r="D10" i="4"/>
  <c r="E10" i="4"/>
  <c r="F10" i="4"/>
  <c r="G10" i="4"/>
  <c r="B11" i="4"/>
  <c r="C11" i="4"/>
  <c r="D11" i="4"/>
  <c r="H11" i="4"/>
  <c r="B12" i="4"/>
  <c r="C12" i="4"/>
  <c r="D12" i="4"/>
  <c r="H12" i="4"/>
  <c r="B13" i="4"/>
  <c r="C13" i="4"/>
  <c r="D13" i="4"/>
  <c r="H13" i="4"/>
  <c r="B14" i="4"/>
  <c r="C14" i="4"/>
  <c r="D14" i="4"/>
  <c r="H14" i="4"/>
  <c r="L14" i="4"/>
  <c r="B15" i="4"/>
  <c r="C15" i="4"/>
  <c r="B16" i="4"/>
  <c r="C16" i="4"/>
  <c r="L16" i="4"/>
  <c r="B17" i="4"/>
  <c r="D17" i="4"/>
  <c r="E17" i="4"/>
  <c r="F17" i="4"/>
  <c r="H17" i="4"/>
  <c r="I17" i="4"/>
  <c r="J17" i="4"/>
  <c r="K17" i="4"/>
  <c r="L17" i="4"/>
  <c r="B18" i="4"/>
  <c r="C18" i="4"/>
  <c r="D18" i="4"/>
  <c r="I18" i="4"/>
  <c r="L18" i="4"/>
  <c r="B19" i="4"/>
  <c r="C19" i="4"/>
  <c r="D19" i="4"/>
  <c r="L19" i="4"/>
  <c r="B20" i="4"/>
  <c r="C20" i="4"/>
  <c r="D20" i="4"/>
  <c r="L20" i="4"/>
  <c r="B21" i="4"/>
  <c r="C21" i="4"/>
  <c r="D21" i="4"/>
  <c r="E21" i="4"/>
  <c r="F21" i="4"/>
  <c r="G21" i="4"/>
  <c r="I21" i="4"/>
  <c r="B22" i="4"/>
  <c r="C22" i="4"/>
  <c r="D22" i="4"/>
  <c r="E22" i="4"/>
  <c r="F22" i="4"/>
  <c r="G22" i="4"/>
  <c r="H22" i="4"/>
  <c r="I22" i="4"/>
  <c r="L22" i="4"/>
  <c r="E29" i="4"/>
  <c r="F29" i="4"/>
  <c r="G29" i="4"/>
  <c r="H29" i="4"/>
  <c r="I29" i="4"/>
  <c r="J29" i="4"/>
  <c r="K29" i="4"/>
  <c r="L29" i="4"/>
  <c r="B30" i="4"/>
  <c r="C30" i="4"/>
  <c r="D30" i="4"/>
  <c r="E30" i="4"/>
  <c r="F30" i="4"/>
  <c r="G30" i="4"/>
  <c r="H30" i="4"/>
  <c r="I30" i="4"/>
  <c r="J30" i="4"/>
  <c r="K30" i="4"/>
  <c r="L30" i="4"/>
  <c r="B31" i="4"/>
  <c r="C31" i="4"/>
  <c r="E31" i="4"/>
  <c r="F31" i="4"/>
  <c r="G31" i="4"/>
  <c r="B32" i="4"/>
  <c r="C32" i="4"/>
  <c r="E32" i="4"/>
  <c r="F32" i="4"/>
  <c r="G32" i="4"/>
  <c r="B33" i="4"/>
  <c r="C33" i="4"/>
  <c r="E33" i="4"/>
  <c r="F33" i="4"/>
  <c r="G33" i="4"/>
  <c r="B34" i="4"/>
  <c r="C34" i="4"/>
  <c r="E34" i="4"/>
  <c r="F34" i="4"/>
  <c r="G34" i="4"/>
  <c r="B35" i="4"/>
  <c r="C35" i="4"/>
  <c r="E35" i="4"/>
  <c r="F35" i="4"/>
  <c r="G35" i="4"/>
  <c r="H35" i="4"/>
  <c r="I35" i="4"/>
  <c r="J35" i="4"/>
  <c r="B36" i="4"/>
  <c r="C36" i="4"/>
  <c r="E36" i="4"/>
  <c r="F36" i="4"/>
  <c r="G36" i="4"/>
  <c r="B37" i="4"/>
  <c r="C37" i="4"/>
  <c r="E37" i="4"/>
  <c r="F37" i="4"/>
  <c r="G37" i="4"/>
  <c r="B38" i="4"/>
  <c r="C38" i="4"/>
  <c r="E38" i="4"/>
  <c r="F38" i="4"/>
  <c r="G38" i="4"/>
  <c r="H38" i="4"/>
  <c r="I38" i="4"/>
  <c r="J38" i="4"/>
  <c r="B39" i="4"/>
  <c r="C39" i="4"/>
  <c r="E39" i="4"/>
  <c r="F39" i="4"/>
  <c r="G39" i="4"/>
  <c r="B40" i="4"/>
  <c r="C40" i="4"/>
  <c r="E40" i="4"/>
  <c r="F40" i="4"/>
  <c r="G40" i="4"/>
  <c r="B41" i="4"/>
  <c r="C41" i="4"/>
  <c r="E41" i="4"/>
  <c r="F41" i="4"/>
  <c r="G41" i="4"/>
  <c r="B42" i="4"/>
  <c r="C42" i="4"/>
  <c r="E42" i="4"/>
  <c r="F42" i="4"/>
  <c r="G42" i="4"/>
  <c r="B43" i="4"/>
  <c r="C43" i="4"/>
  <c r="E43" i="4"/>
  <c r="F43" i="4"/>
  <c r="G43" i="4"/>
  <c r="H43" i="4"/>
  <c r="I43" i="4"/>
  <c r="J43" i="4"/>
  <c r="B44" i="4"/>
  <c r="C44" i="4"/>
  <c r="E44" i="4"/>
  <c r="F44" i="4"/>
  <c r="G44" i="4"/>
  <c r="B45" i="4"/>
  <c r="C45" i="4"/>
  <c r="E45" i="4"/>
  <c r="F45" i="4"/>
  <c r="G45" i="4"/>
  <c r="B46" i="4"/>
  <c r="C46" i="4"/>
  <c r="E46" i="4"/>
  <c r="F46" i="4"/>
  <c r="G46" i="4"/>
  <c r="H46" i="4"/>
  <c r="I46" i="4"/>
  <c r="J46" i="4"/>
  <c r="B47" i="4"/>
  <c r="C47" i="4"/>
  <c r="E47" i="4"/>
  <c r="F47" i="4"/>
  <c r="G47" i="4"/>
  <c r="B48" i="4"/>
  <c r="C48" i="4"/>
  <c r="E48" i="4"/>
  <c r="F48" i="4"/>
  <c r="G48" i="4"/>
  <c r="B49" i="4"/>
  <c r="C49" i="4"/>
  <c r="D49" i="4"/>
  <c r="E49" i="4"/>
  <c r="F49" i="4"/>
  <c r="G49" i="4"/>
  <c r="H49" i="4"/>
  <c r="I49" i="4"/>
  <c r="J49" i="4"/>
  <c r="K49" i="4"/>
  <c r="L49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I19" i="1" l="1"/>
  <c r="I20" i="4" s="1"/>
  <c r="AH30" i="1"/>
  <c r="K30" i="1" s="1"/>
  <c r="AH38" i="1"/>
  <c r="K38" i="1" s="1"/>
  <c r="AH46" i="1"/>
  <c r="K46" i="1" s="1"/>
  <c r="AH31" i="1"/>
  <c r="K31" i="1" s="1"/>
  <c r="AH39" i="1"/>
  <c r="K39" i="1" s="1"/>
  <c r="AH29" i="1"/>
  <c r="K29" i="1" s="1"/>
  <c r="AH32" i="1"/>
  <c r="K32" i="1" s="1"/>
  <c r="AH40" i="1"/>
  <c r="K40" i="1" s="1"/>
  <c r="AH41" i="1"/>
  <c r="K41" i="1" s="1"/>
  <c r="K43" i="4" s="1"/>
  <c r="AH34" i="1"/>
  <c r="K34" i="1" s="1"/>
  <c r="AH42" i="1"/>
  <c r="K42" i="1" s="1"/>
  <c r="AH43" i="1"/>
  <c r="K43" i="1" s="1"/>
  <c r="AH44" i="1"/>
  <c r="K44" i="1" s="1"/>
  <c r="K46" i="4" s="1"/>
  <c r="AH37" i="1"/>
  <c r="K37" i="1" s="1"/>
  <c r="AH35" i="1"/>
  <c r="K35" i="1" s="1"/>
  <c r="AH45" i="1"/>
  <c r="K45" i="1" s="1"/>
  <c r="AH33" i="1"/>
  <c r="K33" i="1" s="1"/>
  <c r="K35" i="4" s="1"/>
  <c r="AH36" i="1"/>
  <c r="K36" i="1" s="1"/>
  <c r="K38" i="4" s="1"/>
  <c r="E15" i="1"/>
  <c r="G14" i="1" s="1"/>
  <c r="D16" i="4" s="1"/>
  <c r="U9" i="1"/>
  <c r="AE10" i="1"/>
  <c r="E12" i="1"/>
  <c r="E13" i="4" s="1"/>
  <c r="AF10" i="1"/>
  <c r="K26" i="4" s="1"/>
  <c r="AE11" i="1"/>
  <c r="J27" i="4" s="1"/>
  <c r="AF11" i="1"/>
  <c r="AF31" i="1"/>
  <c r="AF45" i="1"/>
  <c r="AF39" i="1"/>
  <c r="AF32" i="1"/>
  <c r="AF46" i="1"/>
  <c r="AF35" i="1"/>
  <c r="AF40" i="1"/>
  <c r="AF29" i="1"/>
  <c r="F17" i="1"/>
  <c r="AF38" i="1"/>
  <c r="AF34" i="1"/>
  <c r="AF37" i="1"/>
  <c r="AF42" i="1"/>
  <c r="AG42" i="1"/>
  <c r="F18" i="1"/>
  <c r="AG29" i="1"/>
  <c r="AG32" i="1"/>
  <c r="AG35" i="1"/>
  <c r="AG44" i="1"/>
  <c r="AG31" i="1"/>
  <c r="AG43" i="1"/>
  <c r="AG30" i="1"/>
  <c r="AG34" i="1"/>
  <c r="G11" i="1"/>
  <c r="R8" i="1"/>
  <c r="V8" i="1" s="1"/>
  <c r="W8" i="1" s="1"/>
  <c r="F12" i="1"/>
  <c r="AF30" i="1"/>
  <c r="G10" i="1"/>
  <c r="R7" i="1"/>
  <c r="V7" i="1" s="1"/>
  <c r="W7" i="1" s="1"/>
  <c r="J18" i="1"/>
  <c r="F15" i="1" l="1"/>
  <c r="D14" i="1" s="1"/>
  <c r="D15" i="4" s="1"/>
  <c r="V9" i="1"/>
  <c r="W9" i="1" s="1"/>
  <c r="I9" i="1"/>
  <c r="M7" i="1" s="1"/>
  <c r="J26" i="4"/>
  <c r="J10" i="1"/>
  <c r="K27" i="4"/>
  <c r="AH14" i="1"/>
  <c r="AF16" i="1" s="1"/>
  <c r="I10" i="1"/>
  <c r="J9" i="1"/>
  <c r="N7" i="1" s="1"/>
  <c r="Q9" i="1"/>
  <c r="AE35" i="1"/>
  <c r="K37" i="4" s="1"/>
  <c r="AE45" i="1"/>
  <c r="K47" i="4" s="1"/>
  <c r="AK10" i="1"/>
  <c r="AE39" i="1"/>
  <c r="AE29" i="1"/>
  <c r="K31" i="4" s="1"/>
  <c r="AG10" i="1"/>
  <c r="G13" i="1"/>
  <c r="F19" i="1" s="1"/>
  <c r="AE12" i="1"/>
  <c r="AE43" i="1"/>
  <c r="AP10" i="1"/>
  <c r="AP11" i="1" s="1"/>
  <c r="AK11" i="1"/>
  <c r="AQ10" i="1"/>
  <c r="AQ11" i="1" s="1"/>
  <c r="AG11" i="1"/>
  <c r="AE46" i="1"/>
  <c r="K48" i="4" s="1"/>
  <c r="AE38" i="1"/>
  <c r="AF12" i="1"/>
  <c r="G11" i="4"/>
  <c r="S7" i="1"/>
  <c r="R9" i="1"/>
  <c r="F13" i="4"/>
  <c r="AE32" i="1"/>
  <c r="K34" i="4" s="1"/>
  <c r="AE30" i="1"/>
  <c r="K32" i="4" s="1"/>
  <c r="AE42" i="1"/>
  <c r="AE40" i="1"/>
  <c r="K42" i="4" s="1"/>
  <c r="AE31" i="1"/>
  <c r="AE37" i="1"/>
  <c r="K39" i="4" s="1"/>
  <c r="AE34" i="1"/>
  <c r="S8" i="1"/>
  <c r="G12" i="1"/>
  <c r="G12" i="4"/>
  <c r="N8" i="1" l="1"/>
  <c r="R24" i="1"/>
  <c r="E14" i="1" s="1"/>
  <c r="E15" i="4" s="1"/>
  <c r="M8" i="1"/>
  <c r="J11" i="1"/>
  <c r="K28" i="4"/>
  <c r="L9" i="1"/>
  <c r="O7" i="1" s="1"/>
  <c r="L26" i="4"/>
  <c r="I11" i="1"/>
  <c r="J28" i="4"/>
  <c r="L10" i="1"/>
  <c r="O8" i="1" s="1"/>
  <c r="L27" i="4"/>
  <c r="AF15" i="1"/>
  <c r="AR10" i="1"/>
  <c r="AR11" i="1" s="1"/>
  <c r="AM10" i="1"/>
  <c r="K33" i="4"/>
  <c r="K41" i="4"/>
  <c r="AL10" i="1"/>
  <c r="K45" i="4"/>
  <c r="AG12" i="1"/>
  <c r="G14" i="4"/>
  <c r="E13" i="1"/>
  <c r="E14" i="4" s="1"/>
  <c r="K40" i="4"/>
  <c r="AM11" i="1"/>
  <c r="AL11" i="1"/>
  <c r="K44" i="4"/>
  <c r="K36" i="4"/>
  <c r="S9" i="1"/>
  <c r="G13" i="4"/>
  <c r="N9" i="1" l="1"/>
  <c r="M9" i="1"/>
  <c r="R12" i="1"/>
  <c r="R21" i="1"/>
  <c r="R15" i="1" s="1"/>
  <c r="L11" i="1"/>
  <c r="O9" i="1" s="1"/>
  <c r="O10" i="1" s="1"/>
  <c r="L28" i="4"/>
  <c r="AV11" i="1"/>
  <c r="H43" i="1" s="1"/>
  <c r="H45" i="4" s="1"/>
  <c r="AS11" i="1"/>
  <c r="AS10" i="1"/>
  <c r="AY10" i="1" s="1"/>
  <c r="AT11" i="1"/>
  <c r="E24" i="1" s="1"/>
  <c r="F27" i="4" s="1"/>
  <c r="AV10" i="1"/>
  <c r="H42" i="1" s="1"/>
  <c r="H44" i="4" s="1"/>
  <c r="BI10" i="1"/>
  <c r="AT10" i="1"/>
  <c r="E23" i="1" s="1"/>
  <c r="F26" i="4" s="1"/>
  <c r="AN10" i="1"/>
  <c r="AU10" i="1"/>
  <c r="AJ10" i="1"/>
  <c r="AJ11" i="1" s="1"/>
  <c r="AU11" i="1"/>
  <c r="AO10" i="1"/>
  <c r="AO11" i="1" s="1"/>
  <c r="R16" i="1"/>
  <c r="R17" i="1" s="1"/>
  <c r="BI11" i="1"/>
  <c r="S12" i="1"/>
  <c r="Q11" i="1"/>
  <c r="Q10" i="1"/>
  <c r="Q12" i="1"/>
  <c r="R11" i="1"/>
  <c r="R10" i="1"/>
  <c r="S10" i="1"/>
  <c r="S11" i="1"/>
  <c r="K13" i="1" l="1"/>
  <c r="J13" i="1" s="1"/>
  <c r="V11" i="1"/>
  <c r="V24" i="1"/>
  <c r="H31" i="1"/>
  <c r="H33" i="4" s="1"/>
  <c r="D23" i="1"/>
  <c r="E26" i="4" s="1"/>
  <c r="AZ10" i="1"/>
  <c r="BC10" i="1" s="1"/>
  <c r="I34" i="1" s="1"/>
  <c r="I36" i="4" s="1"/>
  <c r="AZ11" i="1"/>
  <c r="H32" i="1"/>
  <c r="H34" i="4" s="1"/>
  <c r="D24" i="1"/>
  <c r="E27" i="4" s="1"/>
  <c r="H29" i="1"/>
  <c r="H31" i="4" s="1"/>
  <c r="H34" i="1"/>
  <c r="H36" i="4" s="1"/>
  <c r="AW10" i="1"/>
  <c r="AW11" i="1" s="1"/>
  <c r="H30" i="1"/>
  <c r="H32" i="4" s="1"/>
  <c r="AY11" i="1"/>
  <c r="BA11" i="1" s="1"/>
  <c r="I30" i="1" s="1"/>
  <c r="I32" i="4" s="1"/>
  <c r="H35" i="1"/>
  <c r="H37" i="4" s="1"/>
  <c r="AN11" i="1"/>
  <c r="BD10" i="1"/>
  <c r="I37" i="1" s="1"/>
  <c r="I39" i="4" s="1"/>
  <c r="BB10" i="1"/>
  <c r="I31" i="1" s="1"/>
  <c r="I33" i="4" s="1"/>
  <c r="BE10" i="1"/>
  <c r="I39" i="1" s="1"/>
  <c r="J39" i="1" s="1"/>
  <c r="J41" i="4" s="1"/>
  <c r="S14" i="1"/>
  <c r="BA10" i="1"/>
  <c r="I29" i="1" s="1"/>
  <c r="J29" i="1" s="1"/>
  <c r="J31" i="4" s="1"/>
  <c r="N12" i="1"/>
  <c r="H40" i="1"/>
  <c r="H42" i="4" s="1"/>
  <c r="H38" i="1"/>
  <c r="H40" i="4" s="1"/>
  <c r="H37" i="1"/>
  <c r="H39" i="4" s="1"/>
  <c r="H39" i="1"/>
  <c r="H41" i="4" s="1"/>
  <c r="R20" i="1"/>
  <c r="O11" i="1"/>
  <c r="S13" i="1"/>
  <c r="M12" i="1"/>
  <c r="BD11" i="1"/>
  <c r="I38" i="1" s="1"/>
  <c r="R13" i="1"/>
  <c r="N21" i="1"/>
  <c r="N15" i="1" s="1"/>
  <c r="O12" i="1"/>
  <c r="N10" i="1"/>
  <c r="N11" i="1"/>
  <c r="M11" i="1"/>
  <c r="M10" i="1"/>
  <c r="R14" i="1"/>
  <c r="N16" i="1" l="1"/>
  <c r="N17" i="1" s="1"/>
  <c r="V21" i="1"/>
  <c r="V15" i="1" s="1"/>
  <c r="W12" i="1"/>
  <c r="U11" i="1"/>
  <c r="U10" i="1"/>
  <c r="V12" i="1"/>
  <c r="U12" i="1"/>
  <c r="V10" i="1"/>
  <c r="W10" i="1"/>
  <c r="W11" i="1"/>
  <c r="V16" i="1"/>
  <c r="BC11" i="1"/>
  <c r="I35" i="1" s="1"/>
  <c r="I37" i="4" s="1"/>
  <c r="BE11" i="1"/>
  <c r="I40" i="1" s="1"/>
  <c r="I42" i="4" s="1"/>
  <c r="J30" i="1"/>
  <c r="J32" i="4" s="1"/>
  <c r="BB11" i="1"/>
  <c r="I32" i="1" s="1"/>
  <c r="J32" i="1" s="1"/>
  <c r="J34" i="4" s="1"/>
  <c r="H45" i="1"/>
  <c r="H46" i="1" s="1"/>
  <c r="H48" i="4" s="1"/>
  <c r="AX10" i="1"/>
  <c r="BJ10" i="1" s="1"/>
  <c r="BK10" i="1" s="1"/>
  <c r="I31" i="4"/>
  <c r="R19" i="1"/>
  <c r="I41" i="4"/>
  <c r="J31" i="1"/>
  <c r="J33" i="4" s="1"/>
  <c r="O14" i="1"/>
  <c r="J37" i="1"/>
  <c r="J39" i="4" s="1"/>
  <c r="J34" i="1"/>
  <c r="J36" i="4" s="1"/>
  <c r="R18" i="1"/>
  <c r="N14" i="1"/>
  <c r="I40" i="4"/>
  <c r="J38" i="1"/>
  <c r="J40" i="4" s="1"/>
  <c r="N20" i="1" l="1"/>
  <c r="O13" i="1"/>
  <c r="N18" i="1" s="1"/>
  <c r="N13" i="1"/>
  <c r="V14" i="1"/>
  <c r="W14" i="1"/>
  <c r="W13" i="1"/>
  <c r="V17" i="1"/>
  <c r="V13" i="1"/>
  <c r="V20" i="1"/>
  <c r="R22" i="1"/>
  <c r="R25" i="1" s="1"/>
  <c r="J35" i="1"/>
  <c r="J37" i="4" s="1"/>
  <c r="I34" i="4"/>
  <c r="AX11" i="1"/>
  <c r="BG11" i="1" s="1"/>
  <c r="N19" i="1"/>
  <c r="J40" i="1"/>
  <c r="J42" i="4" s="1"/>
  <c r="BG10" i="1"/>
  <c r="I45" i="1" s="1"/>
  <c r="J45" i="1" s="1"/>
  <c r="J47" i="4" s="1"/>
  <c r="H47" i="4"/>
  <c r="BH10" i="1"/>
  <c r="BH11" i="1" s="1"/>
  <c r="BF10" i="1"/>
  <c r="I42" i="1" s="1"/>
  <c r="I44" i="4" s="1"/>
  <c r="V18" i="1" l="1"/>
  <c r="V19" i="1"/>
  <c r="BJ11" i="1"/>
  <c r="BK11" i="1" s="1"/>
  <c r="BF11" i="1" s="1"/>
  <c r="I43" i="1" s="1"/>
  <c r="J43" i="1" s="1"/>
  <c r="J45" i="4" s="1"/>
  <c r="N22" i="1"/>
  <c r="N28" i="1" s="1"/>
  <c r="J14" i="1" s="1"/>
  <c r="I46" i="1"/>
  <c r="I48" i="4" s="1"/>
  <c r="I47" i="4"/>
  <c r="J42" i="1"/>
  <c r="J44" i="4" s="1"/>
  <c r="V22" i="1" l="1"/>
  <c r="V25" i="1" s="1"/>
  <c r="F14" i="1" s="1"/>
  <c r="F15" i="4" s="1"/>
  <c r="I45" i="4"/>
  <c r="J46" i="1"/>
  <c r="J4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Pedro Femia</author>
    <author>Pedro</author>
  </authors>
  <commentList>
    <comment ref="AC6" authorId="0" shapeId="0" xr:uid="{00000000-0006-0000-0200-000001000000}">
      <text>
        <r>
          <rPr>
            <b/>
            <sz val="8"/>
            <color indexed="81"/>
            <rFont val="Tahoma"/>
          </rPr>
          <t xml:space="preserve">Mostrar columnas para ver cálculos
</t>
        </r>
      </text>
    </comment>
    <comment ref="D17" authorId="1" shapeId="0" xr:uid="{00000000-0006-0000-0200-000002000000}">
      <text>
        <r>
          <rPr>
            <b/>
            <sz val="8"/>
            <color indexed="81"/>
            <rFont val="Tahoma"/>
          </rPr>
          <t xml:space="preserve">1=Tipe I 
2=tipe II
</t>
        </r>
      </text>
    </comment>
    <comment ref="I17" authorId="1" shapeId="0" xr:uid="{00000000-0006-0000-0200-000003000000}">
      <text>
        <r>
          <rPr>
            <b/>
            <sz val="8"/>
            <color indexed="81"/>
            <rFont val="Tahoma"/>
          </rPr>
          <t>0 = No
1 = Yes</t>
        </r>
      </text>
    </comment>
    <comment ref="D18" authorId="1" shapeId="0" xr:uid="{00000000-0006-0000-0200-000004000000}">
      <text>
        <r>
          <rPr>
            <b/>
            <sz val="8"/>
            <color indexed="81"/>
            <rFont val="Tahoma"/>
          </rPr>
          <t xml:space="preserve">0 = No
1 = Yes
</t>
        </r>
      </text>
    </comment>
    <comment ref="D19" authorId="1" shapeId="0" xr:uid="{00000000-0006-0000-0200-000005000000}">
      <text>
        <r>
          <rPr>
            <b/>
            <sz val="8"/>
            <color indexed="81"/>
            <rFont val="Tahoma"/>
          </rPr>
          <t>0    = Asymptotic "Normal" (cases 2.1 and 2.2)
0.5 = Asymptotic "nomal" (case 2.1)
1    = Asymptotic "Extra"
Otro = ERROR</t>
        </r>
      </text>
    </comment>
  </commentList>
</comments>
</file>

<file path=xl/sharedStrings.xml><?xml version="1.0" encoding="utf-8"?>
<sst xmlns="http://schemas.openxmlformats.org/spreadsheetml/2006/main" count="208" uniqueCount="152">
  <si>
    <t>Actualización:</t>
  </si>
  <si>
    <t>Cálculos</t>
  </si>
  <si>
    <t>Varianzas</t>
  </si>
  <si>
    <t>n(1-D)
(x12+x21)/(ri+ci)^2</t>
  </si>
  <si>
    <t>C1</t>
  </si>
  <si>
    <t>C2</t>
  </si>
  <si>
    <t>i</t>
  </si>
  <si>
    <t>n</t>
  </si>
  <si>
    <t>xii</t>
  </si>
  <si>
    <t>ci</t>
  </si>
  <si>
    <t>ri</t>
  </si>
  <si>
    <t>c1c2</t>
  </si>
  <si>
    <t>r1r2</t>
  </si>
  <si>
    <t>x12+x21</t>
  </si>
  <si>
    <t>x12 x21</t>
  </si>
  <si>
    <t>SQRT(x12 x21)</t>
  </si>
  <si>
    <t>Di</t>
  </si>
  <si>
    <t>Pi</t>
  </si>
  <si>
    <t>Ai</t>
  </si>
  <si>
    <t>Ci</t>
  </si>
  <si>
    <t>D global</t>
  </si>
  <si>
    <t>1-D</t>
  </si>
  <si>
    <t>1-Di</t>
  </si>
  <si>
    <t>1-Pi</t>
  </si>
  <si>
    <t>V(Di) MI</t>
  </si>
  <si>
    <t>V(Di) MII</t>
  </si>
  <si>
    <t>V(Pi)</t>
  </si>
  <si>
    <t>V(Ai) MI</t>
  </si>
  <si>
    <t>V(Ai) MII</t>
  </si>
  <si>
    <t>V(Ci)</t>
  </si>
  <si>
    <t>V(D) MI</t>
  </si>
  <si>
    <t>V(D) MII</t>
  </si>
  <si>
    <t>(ri+ci)^2</t>
  </si>
  <si>
    <t>n(1-D)/(ri+ci)^2</t>
  </si>
  <si>
    <t>R1</t>
  </si>
  <si>
    <t>R2</t>
  </si>
  <si>
    <t>Kappa =</t>
  </si>
  <si>
    <t>Opciones</t>
  </si>
  <si>
    <t>Medidas</t>
  </si>
  <si>
    <t>Formato</t>
  </si>
  <si>
    <t>Muestreo</t>
  </si>
  <si>
    <t>S.E.</t>
  </si>
  <si>
    <t>condicion</t>
  </si>
  <si>
    <t>Estandar</t>
  </si>
  <si>
    <t>I</t>
  </si>
  <si>
    <t>II</t>
  </si>
  <si>
    <t>-</t>
  </si>
  <si>
    <t>Pedro Femia Marzo</t>
  </si>
  <si>
    <t>Bioestadística</t>
  </si>
  <si>
    <t>Universidad de Granada</t>
  </si>
  <si>
    <t>web</t>
  </si>
  <si>
    <t/>
  </si>
  <si>
    <t>©</t>
  </si>
  <si>
    <t>&gt;</t>
  </si>
  <si>
    <t>&lt;</t>
  </si>
  <si>
    <t xml:space="preserve">Antonio Martín Andrés, Pedro Femia Marzo (2008) </t>
  </si>
  <si>
    <t xml:space="preserve">Chance-Corrected Measures of Reliability and Validity in 2×2 Tables. </t>
  </si>
  <si>
    <t>Communications in Statistics - Theory and Methods 37 (5):760-772.</t>
  </si>
  <si>
    <t>Pedro Femia Marzo, Antonio Martín Andrés</t>
  </si>
  <si>
    <t>A</t>
  </si>
  <si>
    <t>B</t>
  </si>
  <si>
    <t>C</t>
  </si>
  <si>
    <t>kappa</t>
  </si>
  <si>
    <t>Ie</t>
  </si>
  <si>
    <t>Var(k)</t>
  </si>
  <si>
    <t>1-k</t>
  </si>
  <si>
    <t>(1-k)^2</t>
  </si>
  <si>
    <t>T2</t>
  </si>
  <si>
    <t>SE(k) =</t>
  </si>
  <si>
    <t>Data</t>
  </si>
  <si>
    <t>Problem type:</t>
  </si>
  <si>
    <t>Index</t>
  </si>
  <si>
    <t>Validity</t>
  </si>
  <si>
    <t>Sampling</t>
  </si>
  <si>
    <t>Estimate</t>
  </si>
  <si>
    <t>Variance</t>
  </si>
  <si>
    <t>Delta 
(overall)</t>
  </si>
  <si>
    <t>Always</t>
  </si>
  <si>
    <t>R is a standard</t>
  </si>
  <si>
    <t>R is not a standard</t>
  </si>
  <si>
    <t>Analyzed data:</t>
  </si>
  <si>
    <t>Highlight the valid measures</t>
  </si>
  <si>
    <t>Sampling type:</t>
  </si>
  <si>
    <t>Is R a standard?</t>
  </si>
  <si>
    <t>Asymtpotic type:</t>
  </si>
  <si>
    <t>http:/</t>
  </si>
  <si>
    <t>Biostatistics</t>
  </si>
  <si>
    <t>Faculty of Medicine</t>
  </si>
  <si>
    <t>University of Granada</t>
  </si>
  <si>
    <t>Last update</t>
  </si>
  <si>
    <t>Input</t>
  </si>
  <si>
    <t>2x2 data table</t>
  </si>
  <si>
    <t>- Type I: one sample</t>
  </si>
  <si>
    <t>- Tipe II: two independent samples (by rows)</t>
  </si>
  <si>
    <t>Method</t>
  </si>
  <si>
    <t>Delta model for nominal agreement</t>
  </si>
  <si>
    <t>References</t>
  </si>
  <si>
    <t>Purpose</t>
  </si>
  <si>
    <t>Visit the website:</t>
  </si>
  <si>
    <t>Visit the website of Delta:</t>
  </si>
  <si>
    <t>Options</t>
  </si>
  <si>
    <t>depending on the sampling type and whether</t>
  </si>
  <si>
    <t>Type I</t>
  </si>
  <si>
    <t>Type II</t>
  </si>
  <si>
    <t>R Standard</t>
  </si>
  <si>
    <t>Yes</t>
  </si>
  <si>
    <t>No</t>
  </si>
  <si>
    <t>Asymptotic</t>
  </si>
  <si>
    <t>Yes/No</t>
  </si>
  <si>
    <t>v. 2.0</t>
  </si>
  <si>
    <t>a standard rater exists or not.</t>
  </si>
  <si>
    <t>Asymptotic approximation for tables 2x2</t>
  </si>
  <si>
    <t>Citation</t>
  </si>
  <si>
    <t>Pedro Femia Marzo,</t>
  </si>
  <si>
    <t xml:space="preserve"> Antonio Martín Andrés</t>
  </si>
  <si>
    <t>https://www.ugr.es/~bioest/software/delta/aproxdelta_2x2.xlsx</t>
  </si>
  <si>
    <t>Please, cite this resource as:</t>
  </si>
  <si>
    <t>R</t>
  </si>
  <si>
    <t>W</t>
  </si>
  <si>
    <t>Cohen's Kappa coefficient of agreement</t>
  </si>
  <si>
    <t>Delta-model asymptotic measures of agreement and concordance</t>
  </si>
  <si>
    <t>The worksheet gives:</t>
  </si>
  <si>
    <t>Worksheet for the estimation of asymptotic agreement measures according to the model Delta in tables 2x2</t>
  </si>
  <si>
    <t>Femia-Marzo, P. and Martín-Andrés, A. (2015) Worksheet for the estimation of asymptotic agreement measures according to the model Delta in tables 2x2. (update 2022)</t>
  </si>
  <si>
    <t>Estimation of asymptotic agreement measures according to the model Delta in tables 2x2</t>
  </si>
  <si>
    <t>Class</t>
  </si>
  <si>
    <r>
      <t xml:space="preserve">Conformity
</t>
    </r>
    <r>
      <rPr>
        <b/>
        <i/>
        <sz val="10"/>
        <rFont val="Arial"/>
        <family val="2"/>
      </rPr>
      <t>F</t>
    </r>
    <r>
      <rPr>
        <b/>
        <i/>
        <vertAlign val="subscript"/>
        <sz val="10"/>
        <rFont val="Arial"/>
        <family val="2"/>
      </rPr>
      <t>i</t>
    </r>
  </si>
  <si>
    <r>
      <t xml:space="preserve">Predictivity
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i</t>
    </r>
  </si>
  <si>
    <r>
      <t xml:space="preserve">Agreement 
</t>
    </r>
    <r>
      <rPr>
        <b/>
        <i/>
        <sz val="10"/>
        <rFont val="Arial"/>
        <family val="2"/>
      </rPr>
      <t>A</t>
    </r>
    <r>
      <rPr>
        <b/>
        <i/>
        <vertAlign val="subscript"/>
        <sz val="10"/>
        <rFont val="Arial"/>
        <family val="2"/>
      </rPr>
      <t>i</t>
    </r>
  </si>
  <si>
    <r>
      <t xml:space="preserve">Consistency 
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i</t>
    </r>
  </si>
  <si>
    <t>Model Delta: Measures</t>
  </si>
  <si>
    <t>Model Delta: Parameters:</t>
  </si>
  <si>
    <t>Delta</t>
  </si>
  <si>
    <t>Pi(i)</t>
  </si>
  <si>
    <t>D</t>
  </si>
  <si>
    <t>p</t>
  </si>
  <si>
    <t>Analysed data</t>
  </si>
  <si>
    <t>SE(k)</t>
  </si>
  <si>
    <t>Para casos de matriz diagonal</t>
  </si>
  <si>
    <t xml:space="preserve">diagonal: </t>
  </si>
  <si>
    <t>*SE(k) has been calculated adding by 0.5 to all the data</t>
  </si>
  <si>
    <t>∞∞</t>
  </si>
  <si>
    <t>SE(k)*</t>
  </si>
  <si>
    <t>Measure of nominal agreement between two raters</t>
  </si>
  <si>
    <t xml:space="preserve">http://www.ugr.es/~bioest/software/delta/ </t>
  </si>
  <si>
    <t>Win-App</t>
  </si>
  <si>
    <t>Web-App</t>
  </si>
  <si>
    <t>R package</t>
  </si>
  <si>
    <t>Shiny App</t>
  </si>
  <si>
    <t>Apps implementing Delta</t>
  </si>
  <si>
    <t xml:space="preserve">            arimb&lt;y&gt;arimb</t>
  </si>
  <si>
    <t>Classification 2x2 matrix. If one of the raters is a standard, this one must appear by rows.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</si>
</sst>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"/>
    <numFmt numFmtId="165" formatCode="0.0000"/>
    <numFmt numFmtId="166" formatCode="0.00000"/>
    <numFmt numFmtId="167" formatCode="0.0000000"/>
    <numFmt numFmtId="168" formatCode="0.000000"/>
    <numFmt numFmtId="169" formatCode="0.000000000"/>
    <numFmt numFmtId="170" formatCode="0.00000000"/>
    <numFmt numFmtId="171" formatCode="0.0000000000"/>
  </numFmts>
  <fonts count="53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name val="Arial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name val="Arial"/>
    </font>
    <font>
      <sz val="10"/>
      <name val="Arial"/>
      <family val="2"/>
    </font>
    <font>
      <sz val="10"/>
      <color indexed="9"/>
      <name val="Arial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</font>
    <font>
      <i/>
      <sz val="8"/>
      <name val="Arial"/>
      <family val="2"/>
    </font>
    <font>
      <b/>
      <sz val="8"/>
      <color indexed="81"/>
      <name val="Tahoma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u/>
      <sz val="10"/>
      <color indexed="18"/>
      <name val="Arial"/>
      <family val="2"/>
    </font>
    <font>
      <u/>
      <sz val="8"/>
      <color indexed="18"/>
      <name val="Arial"/>
      <family val="2"/>
    </font>
    <font>
      <sz val="10"/>
      <color indexed="18"/>
      <name val="Arial"/>
    </font>
    <font>
      <b/>
      <sz val="12"/>
      <color indexed="18"/>
      <name val="Arial"/>
    </font>
    <font>
      <sz val="8"/>
      <color indexed="18"/>
      <name val="Arial"/>
    </font>
    <font>
      <u/>
      <sz val="8"/>
      <color indexed="18"/>
      <name val="Arial"/>
    </font>
    <font>
      <b/>
      <sz val="8"/>
      <color indexed="18"/>
      <name val="Arial"/>
    </font>
    <font>
      <sz val="10"/>
      <color indexed="48"/>
      <name val="Arial"/>
    </font>
    <font>
      <sz val="10"/>
      <color indexed="23"/>
      <name val="Arial"/>
    </font>
    <font>
      <sz val="8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12"/>
      <color indexed="1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i/>
      <sz val="10"/>
      <color theme="0" tint="-0.249977111117893"/>
      <name val="Arial"/>
      <family val="2"/>
    </font>
    <font>
      <i/>
      <sz val="8"/>
      <color theme="0" tint="-0.249977111117893"/>
      <name val="Arial"/>
      <family val="2"/>
    </font>
    <font>
      <i/>
      <sz val="12"/>
      <color theme="3" tint="-0.499984740745262"/>
      <name val="Arial"/>
      <family val="2"/>
    </font>
    <font>
      <sz val="10"/>
      <color theme="1" tint="0.499984740745262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23"/>
      <name val="Arial"/>
      <family val="2"/>
    </font>
    <font>
      <b/>
      <sz val="10"/>
      <name val="Symbol"/>
      <family val="1"/>
      <charset val="2"/>
    </font>
    <font>
      <b/>
      <sz val="8"/>
      <name val="Symbol"/>
      <family val="1"/>
      <charset val="2"/>
    </font>
    <font>
      <sz val="9"/>
      <color theme="0" tint="-0.499984740745262"/>
      <name val="Arial"/>
      <family val="2"/>
    </font>
    <font>
      <sz val="10"/>
      <color indexed="23"/>
      <name val="Calibri"/>
      <family val="2"/>
    </font>
    <font>
      <b/>
      <sz val="14"/>
      <color theme="4" tint="-0.249977111117893"/>
      <name val="Arial"/>
      <family val="2"/>
    </font>
    <font>
      <i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9"/>
      <color indexed="18"/>
      <name val="Arial"/>
      <family val="2"/>
    </font>
    <font>
      <b/>
      <sz val="9"/>
      <color rgb="FF4682B4"/>
      <name val="Tahoma"/>
      <family val="2"/>
    </font>
    <font>
      <sz val="9"/>
      <color theme="4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51">
    <xf numFmtId="0" fontId="0" fillId="0" borderId="0" xfId="0"/>
    <xf numFmtId="0" fontId="3" fillId="0" borderId="0" xfId="0" applyFont="1"/>
    <xf numFmtId="0" fontId="0" fillId="2" borderId="0" xfId="0" applyFill="1"/>
    <xf numFmtId="0" fontId="0" fillId="2" borderId="1" xfId="0" applyFill="1" applyBorder="1"/>
    <xf numFmtId="0" fontId="6" fillId="2" borderId="0" xfId="0" applyFont="1" applyFill="1"/>
    <xf numFmtId="0" fontId="6" fillId="0" borderId="0" xfId="0" applyFont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6" fillId="0" borderId="2" xfId="0" applyFont="1" applyBorder="1"/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2" borderId="0" xfId="0" applyFont="1" applyFill="1" applyAlignment="1">
      <alignment horizontal="right"/>
    </xf>
    <xf numFmtId="0" fontId="8" fillId="2" borderId="0" xfId="0" applyFont="1" applyFill="1" applyProtection="1">
      <protection locked="0"/>
    </xf>
    <xf numFmtId="0" fontId="0" fillId="0" borderId="0" xfId="0" applyAlignment="1">
      <alignment horizontal="center"/>
    </xf>
    <xf numFmtId="0" fontId="0" fillId="0" borderId="12" xfId="0" applyBorder="1"/>
    <xf numFmtId="165" fontId="0" fillId="0" borderId="6" xfId="0" applyNumberFormat="1" applyBorder="1"/>
    <xf numFmtId="164" fontId="0" fillId="0" borderId="0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6" fontId="0" fillId="0" borderId="0" xfId="0" applyNumberFormat="1"/>
    <xf numFmtId="169" fontId="0" fillId="0" borderId="6" xfId="0" applyNumberFormat="1" applyBorder="1"/>
    <xf numFmtId="170" fontId="0" fillId="0" borderId="0" xfId="0" applyNumberFormat="1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6" fillId="0" borderId="0" xfId="0" applyFont="1"/>
    <xf numFmtId="0" fontId="9" fillId="0" borderId="0" xfId="0" applyFont="1"/>
    <xf numFmtId="0" fontId="0" fillId="2" borderId="0" xfId="0" applyFill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left"/>
    </xf>
    <xf numFmtId="0" fontId="8" fillId="0" borderId="0" xfId="0" applyFont="1"/>
    <xf numFmtId="0" fontId="8" fillId="2" borderId="0" xfId="0" applyFont="1" applyFill="1" applyAlignment="1" applyProtection="1">
      <alignment horizontal="center"/>
      <protection locked="0"/>
    </xf>
    <xf numFmtId="0" fontId="11" fillId="0" borderId="0" xfId="0" applyFont="1"/>
    <xf numFmtId="171" fontId="0" fillId="0" borderId="0" xfId="0" applyNumberFormat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" fillId="0" borderId="0" xfId="0" applyFont="1"/>
    <xf numFmtId="0" fontId="13" fillId="0" borderId="19" xfId="0" applyFont="1" applyBorder="1" applyAlignment="1">
      <alignment horizontal="center"/>
    </xf>
    <xf numFmtId="169" fontId="0" fillId="0" borderId="19" xfId="0" applyNumberFormat="1" applyBorder="1"/>
    <xf numFmtId="169" fontId="0" fillId="0" borderId="20" xfId="0" applyNumberFormat="1" applyBorder="1"/>
    <xf numFmtId="1" fontId="1" fillId="0" borderId="0" xfId="0" applyNumberFormat="1" applyFont="1"/>
    <xf numFmtId="0" fontId="13" fillId="0" borderId="21" xfId="0" applyFont="1" applyBorder="1" applyAlignment="1">
      <alignment horizontal="center"/>
    </xf>
    <xf numFmtId="169" fontId="0" fillId="0" borderId="21" xfId="0" applyNumberFormat="1" applyBorder="1"/>
    <xf numFmtId="169" fontId="0" fillId="0" borderId="22" xfId="0" applyNumberFormat="1" applyBorder="1"/>
    <xf numFmtId="169" fontId="1" fillId="0" borderId="21" xfId="0" applyNumberFormat="1" applyFont="1" applyBorder="1"/>
    <xf numFmtId="0" fontId="13" fillId="0" borderId="23" xfId="0" applyFont="1" applyBorder="1" applyAlignment="1">
      <alignment horizontal="center"/>
    </xf>
    <xf numFmtId="169" fontId="1" fillId="0" borderId="23" xfId="0" applyNumberFormat="1" applyFont="1" applyBorder="1"/>
    <xf numFmtId="169" fontId="0" fillId="0" borderId="23" xfId="0" applyNumberFormat="1" applyBorder="1"/>
    <xf numFmtId="169" fontId="0" fillId="0" borderId="24" xfId="0" applyNumberForma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169" fontId="0" fillId="0" borderId="0" xfId="0" applyNumberFormat="1" applyBorder="1"/>
    <xf numFmtId="0" fontId="13" fillId="0" borderId="0" xfId="0" applyFont="1" applyBorder="1"/>
    <xf numFmtId="0" fontId="6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9" fontId="0" fillId="0" borderId="0" xfId="0" applyNumberFormat="1"/>
    <xf numFmtId="0" fontId="0" fillId="0" borderId="6" xfId="0" applyBorder="1"/>
    <xf numFmtId="0" fontId="0" fillId="0" borderId="8" xfId="0" applyBorder="1"/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Fill="1" applyBorder="1"/>
    <xf numFmtId="0" fontId="8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8" fillId="0" borderId="0" xfId="0" applyFont="1" applyFill="1" applyBorder="1"/>
    <xf numFmtId="0" fontId="9" fillId="0" borderId="0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5" fillId="3" borderId="0" xfId="0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right"/>
    </xf>
    <xf numFmtId="0" fontId="17" fillId="0" borderId="26" xfId="0" applyFont="1" applyFill="1" applyBorder="1" applyProtection="1"/>
    <xf numFmtId="0" fontId="16" fillId="0" borderId="26" xfId="0" applyFont="1" applyBorder="1"/>
    <xf numFmtId="0" fontId="19" fillId="0" borderId="26" xfId="1" applyFont="1" applyFill="1" applyBorder="1" applyAlignment="1" applyProtection="1"/>
    <xf numFmtId="0" fontId="16" fillId="0" borderId="27" xfId="0" applyFont="1" applyBorder="1"/>
    <xf numFmtId="0" fontId="0" fillId="0" borderId="1" xfId="0" applyFill="1" applyBorder="1"/>
    <xf numFmtId="0" fontId="17" fillId="0" borderId="0" xfId="0" applyFont="1" applyFill="1" applyBorder="1" applyAlignment="1" applyProtection="1">
      <alignment horizontal="center"/>
    </xf>
    <xf numFmtId="0" fontId="16" fillId="0" borderId="0" xfId="0" applyFont="1" applyBorder="1"/>
    <xf numFmtId="0" fontId="16" fillId="0" borderId="0" xfId="0" applyFont="1" applyFill="1" applyBorder="1"/>
    <xf numFmtId="0" fontId="16" fillId="0" borderId="12" xfId="0" applyFont="1" applyBorder="1"/>
    <xf numFmtId="0" fontId="16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center"/>
    </xf>
    <xf numFmtId="0" fontId="16" fillId="0" borderId="12" xfId="0" applyFont="1" applyFill="1" applyBorder="1"/>
    <xf numFmtId="0" fontId="0" fillId="0" borderId="28" xfId="0" applyFill="1" applyBorder="1"/>
    <xf numFmtId="0" fontId="16" fillId="0" borderId="13" xfId="0" applyFont="1" applyFill="1" applyBorder="1"/>
    <xf numFmtId="0" fontId="16" fillId="0" borderId="13" xfId="0" applyFont="1" applyBorder="1" applyAlignment="1">
      <alignment horizontal="center"/>
    </xf>
    <xf numFmtId="0" fontId="16" fillId="0" borderId="14" xfId="0" applyFont="1" applyFill="1" applyBorder="1"/>
    <xf numFmtId="14" fontId="0" fillId="0" borderId="0" xfId="0" applyNumberFormat="1" applyFill="1" applyBorder="1" applyAlignment="1">
      <alignment horizontal="left"/>
    </xf>
    <xf numFmtId="0" fontId="6" fillId="0" borderId="0" xfId="0" applyFont="1" applyBorder="1"/>
    <xf numFmtId="0" fontId="10" fillId="0" borderId="0" xfId="0" applyFont="1" applyBorder="1"/>
    <xf numFmtId="0" fontId="0" fillId="0" borderId="25" xfId="0" applyFill="1" applyBorder="1"/>
    <xf numFmtId="0" fontId="6" fillId="0" borderId="26" xfId="0" applyFont="1" applyBorder="1"/>
    <xf numFmtId="0" fontId="0" fillId="0" borderId="26" xfId="0" applyBorder="1"/>
    <xf numFmtId="0" fontId="0" fillId="0" borderId="27" xfId="0" applyFill="1" applyBorder="1"/>
    <xf numFmtId="0" fontId="0" fillId="0" borderId="0" xfId="0" quotePrefix="1" applyBorder="1"/>
    <xf numFmtId="0" fontId="0" fillId="0" borderId="0" xfId="0" quotePrefix="1" applyFill="1" applyBorder="1"/>
    <xf numFmtId="0" fontId="6" fillId="0" borderId="13" xfId="0" applyFont="1" applyBorder="1"/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0" fillId="0" borderId="27" xfId="0" applyBorder="1"/>
    <xf numFmtId="0" fontId="1" fillId="0" borderId="1" xfId="0" applyFont="1" applyFill="1" applyBorder="1" applyAlignment="1">
      <alignment horizontal="right"/>
    </xf>
    <xf numFmtId="0" fontId="0" fillId="0" borderId="12" xfId="0" applyFill="1" applyBorder="1"/>
    <xf numFmtId="14" fontId="8" fillId="0" borderId="13" xfId="0" applyNumberFormat="1" applyFont="1" applyBorder="1" applyAlignment="1">
      <alignment horizontal="center"/>
    </xf>
    <xf numFmtId="0" fontId="2" fillId="0" borderId="0" xfId="1" applyBorder="1" applyAlignment="1" applyProtection="1"/>
    <xf numFmtId="164" fontId="6" fillId="0" borderId="0" xfId="0" applyNumberFormat="1" applyFont="1"/>
    <xf numFmtId="0" fontId="8" fillId="4" borderId="0" xfId="0" applyFont="1" applyFill="1" applyAlignment="1" applyProtection="1">
      <alignment horizontal="center"/>
      <protection locked="0"/>
    </xf>
    <xf numFmtId="0" fontId="8" fillId="4" borderId="0" xfId="0" applyFont="1" applyFill="1" applyProtection="1">
      <protection locked="0"/>
    </xf>
    <xf numFmtId="0" fontId="2" fillId="0" borderId="0" xfId="1" applyFont="1" applyBorder="1" applyAlignment="1" applyProtection="1"/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2" borderId="0" xfId="1" applyFont="1" applyFill="1" applyAlignment="1" applyProtection="1"/>
    <xf numFmtId="0" fontId="20" fillId="2" borderId="1" xfId="0" applyFont="1" applyFill="1" applyBorder="1"/>
    <xf numFmtId="0" fontId="24" fillId="2" borderId="0" xfId="0" applyFont="1" applyFill="1"/>
    <xf numFmtId="0" fontId="20" fillId="0" borderId="0" xfId="0" applyFont="1"/>
    <xf numFmtId="0" fontId="20" fillId="5" borderId="0" xfId="0" applyFont="1" applyFill="1" applyBorder="1"/>
    <xf numFmtId="0" fontId="22" fillId="0" borderId="0" xfId="0" applyFont="1"/>
    <xf numFmtId="14" fontId="24" fillId="0" borderId="0" xfId="0" applyNumberFormat="1" applyFont="1" applyAlignment="1">
      <alignment horizontal="left"/>
    </xf>
    <xf numFmtId="0" fontId="20" fillId="2" borderId="0" xfId="0" applyFont="1" applyFill="1" applyAlignment="1">
      <alignment horizontal="right"/>
    </xf>
    <xf numFmtId="0" fontId="6" fillId="0" borderId="16" xfId="0" applyFont="1" applyBorder="1" applyAlignment="1">
      <alignment horizontal="left"/>
    </xf>
    <xf numFmtId="0" fontId="21" fillId="5" borderId="0" xfId="0" applyFont="1" applyFill="1" applyBorder="1"/>
    <xf numFmtId="0" fontId="20" fillId="5" borderId="0" xfId="0" applyFont="1" applyFill="1" applyBorder="1" applyAlignment="1">
      <alignment horizontal="right"/>
    </xf>
    <xf numFmtId="0" fontId="22" fillId="5" borderId="0" xfId="0" applyFont="1" applyFill="1" applyBorder="1"/>
    <xf numFmtId="0" fontId="20" fillId="5" borderId="13" xfId="0" applyFont="1" applyFill="1" applyBorder="1"/>
    <xf numFmtId="0" fontId="22" fillId="5" borderId="13" xfId="0" applyFont="1" applyFill="1" applyBorder="1"/>
    <xf numFmtId="0" fontId="20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/>
    </xf>
    <xf numFmtId="0" fontId="10" fillId="0" borderId="0" xfId="0" applyFont="1" applyAlignment="1">
      <alignment horizontal="right"/>
    </xf>
    <xf numFmtId="165" fontId="0" fillId="0" borderId="0" xfId="0" applyNumberFormat="1"/>
    <xf numFmtId="0" fontId="25" fillId="0" borderId="0" xfId="0" applyFont="1" applyFill="1" applyBorder="1"/>
    <xf numFmtId="0" fontId="25" fillId="0" borderId="12" xfId="0" applyFont="1" applyFill="1" applyBorder="1"/>
    <xf numFmtId="0" fontId="25" fillId="0" borderId="0" xfId="0" applyFont="1" applyFill="1"/>
    <xf numFmtId="0" fontId="25" fillId="0" borderId="13" xfId="0" applyFont="1" applyFill="1" applyBorder="1"/>
    <xf numFmtId="0" fontId="25" fillId="0" borderId="14" xfId="0" applyFont="1" applyFill="1" applyBorder="1"/>
    <xf numFmtId="0" fontId="25" fillId="0" borderId="28" xfId="0" applyFont="1" applyFill="1" applyBorder="1"/>
    <xf numFmtId="0" fontId="25" fillId="0" borderId="29" xfId="0" applyFont="1" applyFill="1" applyBorder="1"/>
    <xf numFmtId="0" fontId="25" fillId="0" borderId="30" xfId="0" applyFont="1" applyFill="1" applyBorder="1"/>
    <xf numFmtId="0" fontId="26" fillId="0" borderId="0" xfId="0" applyFont="1" applyBorder="1"/>
    <xf numFmtId="0" fontId="26" fillId="0" borderId="12" xfId="0" applyFont="1" applyBorder="1"/>
    <xf numFmtId="0" fontId="26" fillId="0" borderId="0" xfId="0" applyFont="1"/>
    <xf numFmtId="0" fontId="26" fillId="0" borderId="13" xfId="0" applyFont="1" applyBorder="1"/>
    <xf numFmtId="0" fontId="26" fillId="0" borderId="14" xfId="0" applyFont="1" applyBorder="1"/>
    <xf numFmtId="0" fontId="26" fillId="0" borderId="28" xfId="0" applyFont="1" applyBorder="1"/>
    <xf numFmtId="0" fontId="26" fillId="0" borderId="29" xfId="0" applyFont="1" applyBorder="1"/>
    <xf numFmtId="0" fontId="26" fillId="0" borderId="30" xfId="0" applyFont="1" applyBorder="1"/>
    <xf numFmtId="0" fontId="26" fillId="0" borderId="0" xfId="0" applyFont="1" applyAlignment="1">
      <alignment horizontal="left"/>
    </xf>
    <xf numFmtId="168" fontId="26" fillId="0" borderId="0" xfId="0" applyNumberFormat="1" applyFont="1"/>
    <xf numFmtId="0" fontId="26" fillId="0" borderId="16" xfId="0" applyFont="1" applyBorder="1" applyAlignment="1">
      <alignment horizontal="left"/>
    </xf>
    <xf numFmtId="167" fontId="26" fillId="0" borderId="16" xfId="0" applyNumberFormat="1" applyFont="1" applyBorder="1"/>
    <xf numFmtId="164" fontId="26" fillId="0" borderId="0" xfId="0" applyNumberFormat="1" applyFont="1"/>
    <xf numFmtId="0" fontId="26" fillId="0" borderId="16" xfId="0" applyFont="1" applyBorder="1"/>
    <xf numFmtId="165" fontId="26" fillId="0" borderId="0" xfId="0" applyNumberFormat="1" applyFont="1" applyAlignment="1">
      <alignment horizontal="right"/>
    </xf>
    <xf numFmtId="170" fontId="26" fillId="0" borderId="0" xfId="0" applyNumberFormat="1" applyFont="1"/>
    <xf numFmtId="0" fontId="18" fillId="0" borderId="26" xfId="1" applyFont="1" applyFill="1" applyBorder="1" applyAlignment="1" applyProtection="1">
      <protection locked="0"/>
    </xf>
    <xf numFmtId="0" fontId="18" fillId="0" borderId="0" xfId="1" applyFont="1" applyFill="1" applyBorder="1" applyAlignment="1" applyProtection="1">
      <protection locked="0"/>
    </xf>
    <xf numFmtId="0" fontId="16" fillId="0" borderId="0" xfId="0" applyFont="1" applyFill="1" applyBorder="1" applyProtection="1">
      <protection locked="0"/>
    </xf>
    <xf numFmtId="0" fontId="18" fillId="0" borderId="0" xfId="1" applyFont="1" applyBorder="1" applyAlignment="1" applyProtection="1">
      <protection locked="0"/>
    </xf>
    <xf numFmtId="0" fontId="2" fillId="0" borderId="0" xfId="1" applyBorder="1" applyAlignment="1" applyProtection="1">
      <protection locked="0"/>
    </xf>
    <xf numFmtId="0" fontId="6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2" xfId="0" applyBorder="1" applyProtection="1">
      <protection locked="0"/>
    </xf>
    <xf numFmtId="0" fontId="19" fillId="0" borderId="26" xfId="1" applyFont="1" applyFill="1" applyBorder="1" applyAlignment="1" applyProtection="1">
      <protection locked="0"/>
    </xf>
    <xf numFmtId="0" fontId="16" fillId="0" borderId="0" xfId="0" applyFont="1" applyBorder="1" applyProtection="1">
      <protection locked="0"/>
    </xf>
    <xf numFmtId="0" fontId="19" fillId="0" borderId="0" xfId="1" applyFont="1" applyFill="1" applyBorder="1" applyAlignment="1" applyProtection="1"/>
    <xf numFmtId="0" fontId="16" fillId="0" borderId="16" xfId="0" applyFont="1" applyFill="1" applyBorder="1"/>
    <xf numFmtId="0" fontId="2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16" xfId="0" applyFont="1" applyBorder="1"/>
    <xf numFmtId="0" fontId="28" fillId="0" borderId="0" xfId="0" applyFont="1"/>
    <xf numFmtId="0" fontId="29" fillId="0" borderId="0" xfId="0" applyFont="1"/>
    <xf numFmtId="0" fontId="0" fillId="6" borderId="0" xfId="0" applyFill="1" applyAlignment="1">
      <alignment horizontal="right"/>
    </xf>
    <xf numFmtId="0" fontId="0" fillId="6" borderId="0" xfId="0" applyFill="1"/>
    <xf numFmtId="0" fontId="30" fillId="2" borderId="0" xfId="0" applyFont="1" applyFill="1"/>
    <xf numFmtId="0" fontId="8" fillId="0" borderId="0" xfId="0" applyFont="1" applyBorder="1" applyAlignment="1">
      <alignment vertical="top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right"/>
    </xf>
    <xf numFmtId="0" fontId="6" fillId="0" borderId="0" xfId="0" applyFont="1" applyFill="1" applyBorder="1"/>
    <xf numFmtId="0" fontId="2" fillId="0" borderId="0" xfId="1" applyFill="1" applyBorder="1" applyAlignment="1" applyProtection="1"/>
    <xf numFmtId="0" fontId="2" fillId="0" borderId="0" xfId="1" applyFill="1" applyBorder="1" applyAlignment="1" applyProtection="1">
      <alignment horizontal="left"/>
    </xf>
    <xf numFmtId="0" fontId="31" fillId="0" borderId="26" xfId="1" applyFont="1" applyFill="1" applyBorder="1" applyAlignment="1" applyProtection="1"/>
    <xf numFmtId="14" fontId="8" fillId="0" borderId="13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Border="1" applyAlignment="1">
      <alignment horizontal="center"/>
    </xf>
    <xf numFmtId="0" fontId="6" fillId="0" borderId="25" xfId="0" applyFont="1" applyFill="1" applyBorder="1"/>
    <xf numFmtId="0" fontId="16" fillId="0" borderId="26" xfId="0" applyFont="1" applyFill="1" applyBorder="1"/>
    <xf numFmtId="0" fontId="16" fillId="0" borderId="26" xfId="0" applyFont="1" applyBorder="1" applyAlignment="1">
      <alignment horizontal="center"/>
    </xf>
    <xf numFmtId="14" fontId="8" fillId="0" borderId="26" xfId="0" applyNumberFormat="1" applyFont="1" applyBorder="1" applyAlignment="1">
      <alignment horizontal="left"/>
    </xf>
    <xf numFmtId="14" fontId="8" fillId="0" borderId="26" xfId="0" applyNumberFormat="1" applyFont="1" applyBorder="1" applyAlignment="1">
      <alignment horizontal="center"/>
    </xf>
    <xf numFmtId="0" fontId="16" fillId="0" borderId="27" xfId="0" applyFont="1" applyFill="1" applyBorder="1"/>
    <xf numFmtId="0" fontId="8" fillId="0" borderId="26" xfId="0" applyFont="1" applyFill="1" applyBorder="1" applyAlignment="1">
      <alignment vertical="center"/>
    </xf>
    <xf numFmtId="0" fontId="32" fillId="7" borderId="0" xfId="0" applyFont="1" applyFill="1" applyBorder="1"/>
    <xf numFmtId="0" fontId="32" fillId="7" borderId="0" xfId="0" applyFont="1" applyFill="1" applyBorder="1" applyAlignment="1">
      <alignment horizontal="center"/>
    </xf>
    <xf numFmtId="0" fontId="0" fillId="0" borderId="38" xfId="0" applyBorder="1" applyAlignment="1">
      <alignment vertical="center"/>
    </xf>
    <xf numFmtId="0" fontId="2" fillId="0" borderId="38" xfId="1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>
      <alignment vertical="center"/>
    </xf>
    <xf numFmtId="0" fontId="0" fillId="0" borderId="37" xfId="0" applyBorder="1"/>
    <xf numFmtId="0" fontId="0" fillId="0" borderId="38" xfId="0" applyFill="1" applyBorder="1" applyAlignment="1">
      <alignment vertical="center"/>
    </xf>
    <xf numFmtId="0" fontId="0" fillId="0" borderId="26" xfId="0" applyFill="1" applyBorder="1"/>
    <xf numFmtId="0" fontId="0" fillId="0" borderId="27" xfId="0" applyFill="1" applyBorder="1" applyProtection="1"/>
    <xf numFmtId="0" fontId="0" fillId="0" borderId="12" xfId="0" applyFill="1" applyBorder="1" applyProtection="1"/>
    <xf numFmtId="0" fontId="8" fillId="0" borderId="13" xfId="0" applyFont="1" applyFill="1" applyBorder="1"/>
    <xf numFmtId="0" fontId="0" fillId="0" borderId="14" xfId="0" applyFill="1" applyBorder="1"/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/>
    <xf numFmtId="0" fontId="8" fillId="0" borderId="26" xfId="0" applyFont="1" applyBorder="1"/>
    <xf numFmtId="0" fontId="34" fillId="0" borderId="13" xfId="0" applyFont="1" applyBorder="1"/>
    <xf numFmtId="0" fontId="35" fillId="0" borderId="12" xfId="0" applyFont="1" applyBorder="1" applyAlignment="1">
      <alignment horizontal="center" vertical="top"/>
    </xf>
    <xf numFmtId="0" fontId="36" fillId="0" borderId="0" xfId="0" applyFont="1" applyFill="1" applyBorder="1" applyAlignment="1" applyProtection="1">
      <alignment vertical="center"/>
    </xf>
    <xf numFmtId="0" fontId="37" fillId="0" borderId="0" xfId="0" applyFont="1" applyFill="1" applyBorder="1"/>
    <xf numFmtId="14" fontId="37" fillId="0" borderId="0" xfId="0" applyNumberFormat="1" applyFont="1" applyBorder="1" applyAlignment="1">
      <alignment horizontal="center"/>
    </xf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6" fillId="0" borderId="16" xfId="0" applyFont="1" applyBorder="1"/>
    <xf numFmtId="0" fontId="8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40" fillId="0" borderId="0" xfId="0" applyFont="1" applyBorder="1"/>
    <xf numFmtId="0" fontId="8" fillId="0" borderId="0" xfId="0" applyFont="1" applyBorder="1" applyAlignment="1">
      <alignment horizontal="right"/>
    </xf>
    <xf numFmtId="0" fontId="10" fillId="0" borderId="0" xfId="0" applyFont="1"/>
    <xf numFmtId="0" fontId="10" fillId="0" borderId="13" xfId="0" applyFont="1" applyBorder="1"/>
    <xf numFmtId="0" fontId="16" fillId="0" borderId="16" xfId="0" applyFont="1" applyBorder="1"/>
    <xf numFmtId="0" fontId="41" fillId="0" borderId="13" xfId="0" applyFont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3" xfId="0" applyNumberForma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165" fontId="8" fillId="0" borderId="0" xfId="0" applyNumberFormat="1" applyFont="1"/>
    <xf numFmtId="165" fontId="8" fillId="0" borderId="0" xfId="0" applyNumberFormat="1" applyFont="1" applyAlignment="1">
      <alignment horizontal="center"/>
    </xf>
    <xf numFmtId="167" fontId="26" fillId="0" borderId="0" xfId="0" applyNumberFormat="1" applyFont="1" applyBorder="1"/>
    <xf numFmtId="0" fontId="20" fillId="2" borderId="0" xfId="0" applyFont="1" applyFill="1" applyBorder="1"/>
    <xf numFmtId="0" fontId="20" fillId="0" borderId="0" xfId="0" applyFont="1" applyBorder="1"/>
    <xf numFmtId="168" fontId="26" fillId="0" borderId="0" xfId="0" applyNumberFormat="1" applyFont="1" applyBorder="1"/>
    <xf numFmtId="0" fontId="44" fillId="0" borderId="0" xfId="0" applyFont="1" applyBorder="1"/>
    <xf numFmtId="0" fontId="45" fillId="5" borderId="0" xfId="0" applyFont="1" applyFill="1" applyBorder="1"/>
    <xf numFmtId="0" fontId="46" fillId="5" borderId="13" xfId="0" applyFont="1" applyFill="1" applyBorder="1"/>
    <xf numFmtId="0" fontId="48" fillId="5" borderId="13" xfId="0" applyFont="1" applyFill="1" applyBorder="1"/>
    <xf numFmtId="0" fontId="49" fillId="0" borderId="0" xfId="0" applyFont="1"/>
    <xf numFmtId="0" fontId="20" fillId="5" borderId="0" xfId="0" applyFont="1" applyFill="1" applyBorder="1" applyProtection="1">
      <protection locked="0"/>
    </xf>
    <xf numFmtId="0" fontId="23" fillId="5" borderId="0" xfId="1" applyFont="1" applyFill="1" applyBorder="1" applyAlignment="1" applyProtection="1">
      <protection locked="0"/>
    </xf>
    <xf numFmtId="0" fontId="20" fillId="5" borderId="1" xfId="0" applyFont="1" applyFill="1" applyBorder="1" applyProtection="1">
      <protection locked="0"/>
    </xf>
    <xf numFmtId="0" fontId="22" fillId="5" borderId="0" xfId="0" applyFont="1" applyFill="1" applyBorder="1" applyProtection="1">
      <protection locked="0"/>
    </xf>
    <xf numFmtId="0" fontId="22" fillId="5" borderId="0" xfId="0" applyFont="1" applyFill="1" applyBorder="1" applyAlignment="1" applyProtection="1">
      <alignment vertical="center"/>
      <protection locked="0"/>
    </xf>
    <xf numFmtId="0" fontId="20" fillId="5" borderId="0" xfId="0" applyFont="1" applyFill="1" applyBorder="1" applyAlignment="1" applyProtection="1">
      <alignment vertical="center"/>
      <protection locked="0"/>
    </xf>
    <xf numFmtId="0" fontId="20" fillId="5" borderId="1" xfId="0" applyFont="1" applyFill="1" applyBorder="1" applyAlignment="1" applyProtection="1">
      <alignment vertical="center"/>
      <protection locked="0"/>
    </xf>
    <xf numFmtId="0" fontId="20" fillId="5" borderId="13" xfId="0" applyFont="1" applyFill="1" applyBorder="1" applyProtection="1">
      <protection locked="0"/>
    </xf>
    <xf numFmtId="0" fontId="20" fillId="5" borderId="28" xfId="0" applyFont="1" applyFill="1" applyBorder="1" applyProtection="1">
      <protection locked="0"/>
    </xf>
    <xf numFmtId="0" fontId="20" fillId="0" borderId="0" xfId="0" applyFont="1" applyProtection="1">
      <protection locked="0"/>
    </xf>
    <xf numFmtId="0" fontId="20" fillId="2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6" fillId="0" borderId="2" xfId="0" applyFont="1" applyBorder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168" fontId="0" fillId="0" borderId="0" xfId="0" applyNumberForma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7" xfId="0" applyFont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6" fillId="2" borderId="0" xfId="0" applyFont="1" applyFill="1" applyAlignment="1" applyProtection="1">
      <alignment horizontal="right"/>
      <protection locked="0"/>
    </xf>
    <xf numFmtId="167" fontId="0" fillId="0" borderId="0" xfId="0" applyNumberFormat="1" applyProtection="1">
      <protection locked="0"/>
    </xf>
    <xf numFmtId="165" fontId="0" fillId="0" borderId="6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169" fontId="0" fillId="0" borderId="6" xfId="0" applyNumberFormat="1" applyBorder="1" applyProtection="1">
      <protection locked="0"/>
    </xf>
    <xf numFmtId="170" fontId="0" fillId="0" borderId="0" xfId="0" applyNumberForma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1" fillId="0" borderId="0" xfId="0" applyFont="1" applyProtection="1">
      <protection locked="0"/>
    </xf>
    <xf numFmtId="166" fontId="0" fillId="0" borderId="19" xfId="0" applyNumberFormat="1" applyBorder="1"/>
    <xf numFmtId="166" fontId="0" fillId="0" borderId="20" xfId="0" applyNumberFormat="1" applyBorder="1"/>
    <xf numFmtId="166" fontId="0" fillId="0" borderId="21" xfId="0" applyNumberFormat="1" applyBorder="1"/>
    <xf numFmtId="166" fontId="0" fillId="0" borderId="22" xfId="0" applyNumberFormat="1" applyBorder="1"/>
    <xf numFmtId="166" fontId="1" fillId="0" borderId="21" xfId="0" applyNumberFormat="1" applyFont="1" applyBorder="1"/>
    <xf numFmtId="166" fontId="1" fillId="0" borderId="23" xfId="0" applyNumberFormat="1" applyFont="1" applyBorder="1"/>
    <xf numFmtId="166" fontId="0" fillId="0" borderId="23" xfId="0" applyNumberFormat="1" applyBorder="1"/>
    <xf numFmtId="166" fontId="0" fillId="0" borderId="24" xfId="0" applyNumberFormat="1" applyBorder="1"/>
    <xf numFmtId="166" fontId="0" fillId="0" borderId="0" xfId="0" applyNumberFormat="1" applyBorder="1"/>
    <xf numFmtId="165" fontId="0" fillId="0" borderId="0" xfId="0" applyNumberFormat="1" applyAlignment="1">
      <alignment horizontal="center"/>
    </xf>
    <xf numFmtId="165" fontId="0" fillId="0" borderId="13" xfId="0" applyNumberFormat="1" applyBorder="1" applyAlignment="1">
      <alignment horizontal="center"/>
    </xf>
    <xf numFmtId="0" fontId="22" fillId="5" borderId="13" xfId="0" applyFont="1" applyFill="1" applyBorder="1" applyProtection="1"/>
    <xf numFmtId="0" fontId="20" fillId="5" borderId="13" xfId="0" applyFont="1" applyFill="1" applyBorder="1" applyProtection="1"/>
    <xf numFmtId="0" fontId="20" fillId="0" borderId="0" xfId="0" applyFont="1" applyProtection="1"/>
    <xf numFmtId="0" fontId="0" fillId="0" borderId="0" xfId="0" applyProtection="1"/>
    <xf numFmtId="170" fontId="0" fillId="0" borderId="0" xfId="0" applyNumberFormat="1" applyProtection="1"/>
    <xf numFmtId="0" fontId="50" fillId="0" borderId="0" xfId="0" applyFont="1" applyAlignment="1" applyProtection="1">
      <alignment horizontal="center"/>
    </xf>
    <xf numFmtId="0" fontId="51" fillId="0" borderId="0" xfId="0" applyFont="1"/>
    <xf numFmtId="0" fontId="52" fillId="0" borderId="0" xfId="0" applyFont="1"/>
    <xf numFmtId="0" fontId="16" fillId="0" borderId="0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center" wrapText="1"/>
    </xf>
    <xf numFmtId="0" fontId="47" fillId="5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right" wrapText="1"/>
      <protection locked="0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" fillId="0" borderId="0" xfId="1" applyBorder="1" applyAlignment="1" applyProtection="1">
      <alignment horizontal="left"/>
    </xf>
    <xf numFmtId="0" fontId="50" fillId="8" borderId="0" xfId="0" applyFont="1" applyFill="1" applyAlignment="1" applyProtection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</cellXfs>
  <cellStyles count="2">
    <cellStyle name="Hipervínculo" xfId="1" builtinId="8"/>
    <cellStyle name="Normal" xfId="0" builtinId="0"/>
  </cellStyles>
  <dxfs count="10"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8"/>
      </font>
    </dxf>
    <dxf>
      <font>
        <b/>
        <i val="0"/>
      </font>
      <fill>
        <patternFill>
          <bgColor rgb="FFFFFFCC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creativecommons.org/licenses/by-nc-nd/3.0/deed.en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ugr.es/local/bioest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pd.ugr.es/~bioest/delta.php" TargetMode="External"/><Relationship Id="rId13" Type="http://schemas.openxmlformats.org/officeDocument/2006/relationships/image" Target="../media/image8.jpeg"/><Relationship Id="rId3" Type="http://schemas.openxmlformats.org/officeDocument/2006/relationships/hyperlink" Target="https://www.ugr.es/~bioest/software/delta/cmd.php?seccion=home" TargetMode="External"/><Relationship Id="rId7" Type="http://schemas.openxmlformats.org/officeDocument/2006/relationships/image" Target="../media/image3.png"/><Relationship Id="rId12" Type="http://schemas.openxmlformats.org/officeDocument/2006/relationships/hyperlink" Target="https://admaldonado.shinyapps.io/deltaman/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creativecommons.org/licenses/by-nc-nd/3.0/deed.en" TargetMode="External"/><Relationship Id="rId6" Type="http://schemas.openxmlformats.org/officeDocument/2006/relationships/image" Target="../media/image5.png"/><Relationship Id="rId11" Type="http://schemas.openxmlformats.org/officeDocument/2006/relationships/image" Target="../media/image7.jpg"/><Relationship Id="rId5" Type="http://schemas.openxmlformats.org/officeDocument/2006/relationships/hyperlink" Target="http://www.ugr.es" TargetMode="External"/><Relationship Id="rId15" Type="http://schemas.openxmlformats.org/officeDocument/2006/relationships/image" Target="../media/image9.gif"/><Relationship Id="rId10" Type="http://schemas.openxmlformats.org/officeDocument/2006/relationships/hyperlink" Target="https://cran.r-project.org/package=DeltaMAN" TargetMode="External"/><Relationship Id="rId4" Type="http://schemas.openxmlformats.org/officeDocument/2006/relationships/image" Target="../media/image4.png"/><Relationship Id="rId9" Type="http://schemas.openxmlformats.org/officeDocument/2006/relationships/image" Target="../media/image6.jpeg"/><Relationship Id="rId14" Type="http://schemas.openxmlformats.org/officeDocument/2006/relationships/hyperlink" Target="https://www.ugr.es/~bioest/software/delta/Delta.ex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85725</xdr:rowOff>
    </xdr:from>
    <xdr:to>
      <xdr:col>10</xdr:col>
      <xdr:colOff>714375</xdr:colOff>
      <xdr:row>3</xdr:row>
      <xdr:rowOff>142875</xdr:rowOff>
    </xdr:to>
    <xdr:pic>
      <xdr:nvPicPr>
        <xdr:cNvPr id="5124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725"/>
          <a:ext cx="5962650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549339</xdr:colOff>
      <xdr:row>13</xdr:row>
      <xdr:rowOff>123825</xdr:rowOff>
    </xdr:from>
    <xdr:to>
      <xdr:col>10</xdr:col>
      <xdr:colOff>1279384</xdr:colOff>
      <xdr:row>14</xdr:row>
      <xdr:rowOff>180975</xdr:rowOff>
    </xdr:to>
    <xdr:pic>
      <xdr:nvPicPr>
        <xdr:cNvPr id="2" name="1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7214" y="2238375"/>
          <a:ext cx="730045" cy="257175"/>
        </a:xfrm>
        <a:prstGeom prst="rect">
          <a:avLst/>
        </a:prstGeom>
      </xdr:spPr>
    </xdr:pic>
    <xdr:clientData/>
  </xdr:twoCellAnchor>
  <xdr:twoCellAnchor editAs="oneCell">
    <xdr:from>
      <xdr:col>10</xdr:col>
      <xdr:colOff>714374</xdr:colOff>
      <xdr:row>7</xdr:row>
      <xdr:rowOff>57149</xdr:rowOff>
    </xdr:from>
    <xdr:to>
      <xdr:col>10</xdr:col>
      <xdr:colOff>1162049</xdr:colOff>
      <xdr:row>9</xdr:row>
      <xdr:rowOff>85724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0931F6C-08D3-38A9-F418-F25E5B08B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9" y="1219199"/>
          <a:ext cx="447675" cy="447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342900</xdr:colOff>
      <xdr:row>6</xdr:row>
      <xdr:rowOff>28575</xdr:rowOff>
    </xdr:from>
    <xdr:to>
      <xdr:col>15</xdr:col>
      <xdr:colOff>400050</xdr:colOff>
      <xdr:row>17</xdr:row>
      <xdr:rowOff>76200</xdr:rowOff>
    </xdr:to>
    <xdr:sp macro="" textlink="">
      <xdr:nvSpPr>
        <xdr:cNvPr id="17" name="Rectángulo: esquinas redondeadas 16">
          <a:extLst>
            <a:ext uri="{FF2B5EF4-FFF2-40B4-BE49-F238E27FC236}">
              <a16:creationId xmlns:a16="http://schemas.microsoft.com/office/drawing/2014/main" id="{A15F9BA2-6221-1BE5-5D98-52DCDFAC7F1A}"/>
            </a:ext>
          </a:extLst>
        </xdr:cNvPr>
        <xdr:cNvSpPr/>
      </xdr:nvSpPr>
      <xdr:spPr>
        <a:xfrm>
          <a:off x="7972425" y="1066800"/>
          <a:ext cx="2419350" cy="1876425"/>
        </a:xfrm>
        <a:prstGeom prst="roundRect">
          <a:avLst>
            <a:gd name="adj" fmla="val 12098"/>
          </a:avLst>
        </a:prstGeom>
        <a:noFill/>
        <a:ln w="12700">
          <a:solidFill>
            <a:schemeClr val="tx2">
              <a:lumMod val="50000"/>
              <a:alpha val="42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10</xdr:col>
      <xdr:colOff>123825</xdr:colOff>
      <xdr:row>49</xdr:row>
      <xdr:rowOff>9525</xdr:rowOff>
    </xdr:from>
    <xdr:to>
      <xdr:col>11</xdr:col>
      <xdr:colOff>393560</xdr:colOff>
      <xdr:row>50</xdr:row>
      <xdr:rowOff>117426</xdr:rowOff>
    </xdr:to>
    <xdr:pic>
      <xdr:nvPicPr>
        <xdr:cNvPr id="4" name="3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7705725"/>
          <a:ext cx="812660" cy="269826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0</xdr:row>
      <xdr:rowOff>114300</xdr:rowOff>
    </xdr:from>
    <xdr:to>
      <xdr:col>2</xdr:col>
      <xdr:colOff>393993</xdr:colOff>
      <xdr:row>2</xdr:row>
      <xdr:rowOff>130722</xdr:rowOff>
    </xdr:to>
    <xdr:pic>
      <xdr:nvPicPr>
        <xdr:cNvPr id="2" name="Imagen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D463E4-F5AA-89DE-8063-58D171FC5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4800" y="114300"/>
          <a:ext cx="451143" cy="445047"/>
        </a:xfrm>
        <a:prstGeom prst="rect">
          <a:avLst/>
        </a:prstGeom>
      </xdr:spPr>
    </xdr:pic>
    <xdr:clientData/>
  </xdr:twoCellAnchor>
  <xdr:twoCellAnchor editAs="oneCell">
    <xdr:from>
      <xdr:col>9</xdr:col>
      <xdr:colOff>238125</xdr:colOff>
      <xdr:row>1</xdr:row>
      <xdr:rowOff>4654</xdr:rowOff>
    </xdr:from>
    <xdr:to>
      <xdr:col>12</xdr:col>
      <xdr:colOff>114300</xdr:colOff>
      <xdr:row>3</xdr:row>
      <xdr:rowOff>190417</xdr:rowOff>
    </xdr:to>
    <xdr:pic>
      <xdr:nvPicPr>
        <xdr:cNvPr id="3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685837E-2BAF-C91C-56F1-D35EA8F18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67425" y="204679"/>
          <a:ext cx="1676400" cy="614388"/>
        </a:xfrm>
        <a:prstGeom prst="rect">
          <a:avLst/>
        </a:prstGeom>
      </xdr:spPr>
    </xdr:pic>
    <xdr:clientData/>
  </xdr:twoCellAnchor>
  <xdr:twoCellAnchor editAs="oneCell">
    <xdr:from>
      <xdr:col>12</xdr:col>
      <xdr:colOff>495300</xdr:colOff>
      <xdr:row>6</xdr:row>
      <xdr:rowOff>133351</xdr:rowOff>
    </xdr:from>
    <xdr:to>
      <xdr:col>13</xdr:col>
      <xdr:colOff>28575</xdr:colOff>
      <xdr:row>8</xdr:row>
      <xdr:rowOff>133351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BF0FDB-6F9F-A282-C4FC-F45B035AA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4825" y="1171576"/>
          <a:ext cx="333375" cy="333375"/>
        </a:xfrm>
        <a:prstGeom prst="rect">
          <a:avLst/>
        </a:prstGeom>
      </xdr:spPr>
    </xdr:pic>
    <xdr:clientData/>
  </xdr:twoCellAnchor>
  <xdr:twoCellAnchor editAs="oneCell">
    <xdr:from>
      <xdr:col>14</xdr:col>
      <xdr:colOff>152400</xdr:colOff>
      <xdr:row>8</xdr:row>
      <xdr:rowOff>95250</xdr:rowOff>
    </xdr:from>
    <xdr:to>
      <xdr:col>14</xdr:col>
      <xdr:colOff>561975</xdr:colOff>
      <xdr:row>11</xdr:row>
      <xdr:rowOff>0</xdr:rowOff>
    </xdr:to>
    <xdr:pic>
      <xdr:nvPicPr>
        <xdr:cNvPr id="9" name="Imagen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7E6715A-5E5F-9F71-480E-1A7F0E846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5925" y="1466850"/>
          <a:ext cx="409575" cy="409575"/>
        </a:xfrm>
        <a:prstGeom prst="rect">
          <a:avLst/>
        </a:prstGeom>
      </xdr:spPr>
    </xdr:pic>
    <xdr:clientData/>
  </xdr:twoCellAnchor>
  <xdr:twoCellAnchor editAs="oneCell">
    <xdr:from>
      <xdr:col>13</xdr:col>
      <xdr:colOff>166188</xdr:colOff>
      <xdr:row>13</xdr:row>
      <xdr:rowOff>19050</xdr:rowOff>
    </xdr:from>
    <xdr:to>
      <xdr:col>13</xdr:col>
      <xdr:colOff>628650</xdr:colOff>
      <xdr:row>15</xdr:row>
      <xdr:rowOff>85724</xdr:rowOff>
    </xdr:to>
    <xdr:pic>
      <xdr:nvPicPr>
        <xdr:cNvPr id="11" name="Imagen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9294B58-8F9C-0621-9CDA-6124362B6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7713" y="2228850"/>
          <a:ext cx="462462" cy="390524"/>
        </a:xfrm>
        <a:prstGeom prst="rect">
          <a:avLst/>
        </a:prstGeom>
      </xdr:spPr>
    </xdr:pic>
    <xdr:clientData/>
  </xdr:twoCellAnchor>
  <xdr:twoCellAnchor editAs="oneCell">
    <xdr:from>
      <xdr:col>14</xdr:col>
      <xdr:colOff>200025</xdr:colOff>
      <xdr:row>13</xdr:row>
      <xdr:rowOff>0</xdr:rowOff>
    </xdr:from>
    <xdr:to>
      <xdr:col>14</xdr:col>
      <xdr:colOff>571333</xdr:colOff>
      <xdr:row>15</xdr:row>
      <xdr:rowOff>104775</xdr:rowOff>
    </xdr:to>
    <xdr:pic>
      <xdr:nvPicPr>
        <xdr:cNvPr id="13" name="Imagen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51C77F6B-9A35-65DD-878F-8C284C985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3550" y="2209800"/>
          <a:ext cx="371308" cy="428625"/>
        </a:xfrm>
        <a:prstGeom prst="rect">
          <a:avLst/>
        </a:prstGeom>
      </xdr:spPr>
    </xdr:pic>
    <xdr:clientData/>
  </xdr:twoCellAnchor>
  <xdr:twoCellAnchor editAs="oneCell">
    <xdr:from>
      <xdr:col>13</xdr:col>
      <xdr:colOff>219075</xdr:colOff>
      <xdr:row>8</xdr:row>
      <xdr:rowOff>101963</xdr:rowOff>
    </xdr:from>
    <xdr:to>
      <xdr:col>13</xdr:col>
      <xdr:colOff>590550</xdr:colOff>
      <xdr:row>10</xdr:row>
      <xdr:rowOff>123825</xdr:rowOff>
    </xdr:to>
    <xdr:pic>
      <xdr:nvPicPr>
        <xdr:cNvPr id="15" name="Imagen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57863B2D-F6BE-C84F-E447-78B09A7DA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1473563"/>
          <a:ext cx="371475" cy="364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752475</xdr:colOff>
      <xdr:row>6</xdr:row>
      <xdr:rowOff>161925</xdr:rowOff>
    </xdr:from>
    <xdr:to>
      <xdr:col>7</xdr:col>
      <xdr:colOff>752475</xdr:colOff>
      <xdr:row>14</xdr:row>
      <xdr:rowOff>38100</xdr:rowOff>
    </xdr:to>
    <xdr:sp macro="" textlink="">
      <xdr:nvSpPr>
        <xdr:cNvPr id="1033" name="Line 5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>
          <a:spLocks noChangeShapeType="1"/>
        </xdr:cNvSpPr>
      </xdr:nvSpPr>
      <xdr:spPr bwMode="auto">
        <a:xfrm>
          <a:off x="5000625" y="1295400"/>
          <a:ext cx="0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ugr.e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ugr.es/~bioest/software/delta/" TargetMode="External"/><Relationship Id="rId1" Type="http://schemas.openxmlformats.org/officeDocument/2006/relationships/hyperlink" Target="http://www.tandfonline.com/doi/abs/10.1080/03610920701669884" TargetMode="External"/><Relationship Id="rId6" Type="http://schemas.openxmlformats.org/officeDocument/2006/relationships/hyperlink" Target="https://www.ugr.es/~pfemia/" TargetMode="External"/><Relationship Id="rId5" Type="http://schemas.openxmlformats.org/officeDocument/2006/relationships/hyperlink" Target="https://www.ugr.es/~bioest/software/delta/index.php" TargetMode="External"/><Relationship Id="rId4" Type="http://schemas.openxmlformats.org/officeDocument/2006/relationships/hyperlink" Target="https://medicina.ugr.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gr.es/~bioest/software/delta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ugr.es/local/bioest" TargetMode="External"/><Relationship Id="rId1" Type="http://schemas.openxmlformats.org/officeDocument/2006/relationships/hyperlink" Target="http://www.ugr.es/local/pfemia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1"/>
  <dimension ref="A6:P47"/>
  <sheetViews>
    <sheetView showGridLines="0" workbookViewId="0">
      <pane ySplit="4" topLeftCell="A5" activePane="bottomLeft" state="frozenSplit"/>
      <selection activeCell="L26" sqref="L26"/>
      <selection pane="bottomLeft" activeCell="C6" sqref="C6"/>
    </sheetView>
  </sheetViews>
  <sheetFormatPr baseColWidth="10" defaultRowHeight="12.75" x14ac:dyDescent="0.2"/>
  <cols>
    <col min="1" max="1" width="3.28515625" style="78" customWidth="1"/>
    <col min="2" max="2" width="7.7109375" style="10" customWidth="1"/>
    <col min="3" max="3" width="2.5703125" style="10" customWidth="1"/>
    <col min="4" max="4" width="5.5703125" style="78" customWidth="1"/>
    <col min="5" max="5" width="15.140625" style="10" customWidth="1"/>
    <col min="6" max="6" width="2.140625" style="10" customWidth="1"/>
    <col min="7" max="7" width="11.42578125" style="10"/>
    <col min="8" max="9" width="14.28515625" style="10" customWidth="1"/>
    <col min="10" max="10" width="11.42578125" style="10"/>
    <col min="11" max="11" width="22.140625" style="10" customWidth="1"/>
    <col min="12" max="16384" width="11.42578125" style="10"/>
  </cols>
  <sheetData>
    <row r="6" spans="2:16" s="76" customFormat="1" ht="15" x14ac:dyDescent="0.2">
      <c r="C6" s="77"/>
      <c r="E6" s="229"/>
    </row>
    <row r="7" spans="2:16" x14ac:dyDescent="0.2">
      <c r="B7" s="78"/>
      <c r="D7" s="105"/>
      <c r="E7" s="107"/>
      <c r="F7" s="218"/>
      <c r="G7" s="218"/>
      <c r="H7" s="218"/>
      <c r="I7" s="218"/>
      <c r="J7" s="218"/>
      <c r="K7" s="219" t="s">
        <v>51</v>
      </c>
      <c r="L7" s="79" t="s">
        <v>51</v>
      </c>
      <c r="M7" s="78"/>
      <c r="N7" s="78"/>
      <c r="O7" s="78"/>
      <c r="P7" s="80"/>
    </row>
    <row r="8" spans="2:16" ht="7.5" customHeight="1" x14ac:dyDescent="0.2">
      <c r="B8" s="78"/>
      <c r="C8" s="78"/>
      <c r="D8" s="90"/>
      <c r="E8" s="329" t="s">
        <v>122</v>
      </c>
      <c r="F8" s="329"/>
      <c r="G8" s="329"/>
      <c r="H8" s="329"/>
      <c r="I8" s="329"/>
      <c r="J8" s="329"/>
      <c r="K8" s="220"/>
      <c r="L8" s="79" t="s">
        <v>51</v>
      </c>
      <c r="M8" s="82" t="s">
        <v>51</v>
      </c>
      <c r="N8" s="83" t="s">
        <v>51</v>
      </c>
      <c r="O8" s="80" t="s">
        <v>51</v>
      </c>
      <c r="P8" s="80" t="s">
        <v>51</v>
      </c>
    </row>
    <row r="9" spans="2:16" ht="25.5" customHeight="1" x14ac:dyDescent="0.2">
      <c r="D9" s="90"/>
      <c r="E9" s="329"/>
      <c r="F9" s="329"/>
      <c r="G9" s="329"/>
      <c r="H9" s="329"/>
      <c r="I9" s="329"/>
      <c r="J9" s="329"/>
      <c r="K9" s="118"/>
      <c r="L9" s="78"/>
      <c r="M9" s="78"/>
      <c r="N9" s="78"/>
      <c r="O9" s="78"/>
      <c r="P9" s="78"/>
    </row>
    <row r="10" spans="2:16" ht="10.5" customHeight="1" x14ac:dyDescent="0.2">
      <c r="D10" s="90"/>
      <c r="E10" s="223"/>
      <c r="F10" s="223"/>
      <c r="G10" s="223"/>
      <c r="H10" s="223"/>
      <c r="I10" s="223"/>
      <c r="J10" s="224"/>
      <c r="K10" s="118"/>
      <c r="L10" s="78"/>
      <c r="M10" s="78"/>
      <c r="N10" s="78"/>
      <c r="O10" s="78"/>
      <c r="P10" s="78"/>
    </row>
    <row r="11" spans="2:16" ht="6" customHeight="1" x14ac:dyDescent="0.2">
      <c r="D11" s="98"/>
      <c r="E11" s="221"/>
      <c r="F11" s="221"/>
      <c r="G11" s="36"/>
      <c r="H11" s="221"/>
      <c r="I11" s="221"/>
      <c r="J11" s="221"/>
      <c r="K11" s="222"/>
      <c r="L11" s="78"/>
      <c r="M11" s="78"/>
      <c r="N11" s="78"/>
      <c r="O11" s="78"/>
      <c r="P11" s="78"/>
    </row>
    <row r="12" spans="2:16" ht="8.25" customHeight="1" x14ac:dyDescent="0.2">
      <c r="E12" s="81"/>
      <c r="F12" s="81"/>
      <c r="H12" s="81"/>
      <c r="I12" s="81"/>
      <c r="J12" s="81"/>
      <c r="K12" s="78"/>
      <c r="L12" s="78"/>
      <c r="M12" s="78"/>
      <c r="N12" s="78"/>
      <c r="O12" s="78"/>
      <c r="P12" s="78"/>
    </row>
    <row r="13" spans="2:16" x14ac:dyDescent="0.2">
      <c r="C13" s="84" t="s">
        <v>52</v>
      </c>
      <c r="E13" s="81"/>
      <c r="F13" s="81"/>
      <c r="H13" s="81"/>
      <c r="I13" s="81"/>
      <c r="J13" s="81"/>
      <c r="K13" s="78"/>
      <c r="L13" s="78"/>
      <c r="M13" s="78"/>
      <c r="N13" s="78"/>
      <c r="O13" s="78"/>
      <c r="P13" s="78"/>
    </row>
    <row r="14" spans="2:16" ht="15.75" x14ac:dyDescent="0.25">
      <c r="D14" s="85"/>
      <c r="E14" s="198" t="s">
        <v>113</v>
      </c>
      <c r="F14" s="86"/>
      <c r="G14" s="87" t="s">
        <v>114</v>
      </c>
      <c r="H14" s="171"/>
      <c r="I14" s="180"/>
      <c r="J14" s="88"/>
      <c r="K14" s="89"/>
    </row>
    <row r="15" spans="2:16" ht="15" x14ac:dyDescent="0.2">
      <c r="C15" s="78"/>
      <c r="D15" s="90"/>
      <c r="E15" s="197" t="s">
        <v>86</v>
      </c>
      <c r="F15" s="91"/>
      <c r="G15" s="92"/>
      <c r="H15" s="172"/>
      <c r="I15" s="230" t="s">
        <v>89</v>
      </c>
      <c r="J15" s="231">
        <v>44692</v>
      </c>
      <c r="K15" s="94"/>
    </row>
    <row r="16" spans="2:16" x14ac:dyDescent="0.2">
      <c r="C16" s="78"/>
      <c r="D16" s="90"/>
      <c r="E16" s="196" t="s">
        <v>87</v>
      </c>
      <c r="F16" s="96"/>
      <c r="G16" s="95"/>
      <c r="H16" s="173"/>
      <c r="I16" s="232"/>
      <c r="J16" s="233" t="s">
        <v>109</v>
      </c>
      <c r="K16" s="228" t="s">
        <v>150</v>
      </c>
    </row>
    <row r="17" spans="3:11" x14ac:dyDescent="0.2">
      <c r="C17" s="78"/>
      <c r="D17" s="90"/>
      <c r="E17" s="120" t="s">
        <v>88</v>
      </c>
      <c r="F17" s="92"/>
      <c r="G17" s="92"/>
      <c r="H17" s="174"/>
      <c r="I17" s="181"/>
      <c r="J17" s="92"/>
      <c r="K17" s="94"/>
    </row>
    <row r="18" spans="3:11" x14ac:dyDescent="0.2">
      <c r="C18" s="78"/>
      <c r="D18" s="98"/>
      <c r="E18" s="36"/>
      <c r="F18" s="99"/>
      <c r="G18" s="36"/>
      <c r="H18" s="36"/>
      <c r="I18" s="227"/>
      <c r="J18" s="119"/>
      <c r="K18" s="101"/>
    </row>
    <row r="19" spans="3:11" x14ac:dyDescent="0.2">
      <c r="C19" s="78"/>
      <c r="E19" s="93"/>
      <c r="F19" s="93"/>
      <c r="G19" s="200"/>
      <c r="H19" s="201"/>
      <c r="J19" s="202"/>
      <c r="K19" s="93"/>
    </row>
    <row r="20" spans="3:11" x14ac:dyDescent="0.2">
      <c r="C20" s="211" t="s">
        <v>117</v>
      </c>
      <c r="D20" s="195" t="s">
        <v>112</v>
      </c>
      <c r="E20" s="93"/>
      <c r="F20" s="93"/>
      <c r="G20" s="200"/>
      <c r="H20" s="201"/>
      <c r="J20" s="202"/>
      <c r="K20" s="93"/>
    </row>
    <row r="21" spans="3:11" ht="20.25" customHeight="1" x14ac:dyDescent="0.2">
      <c r="C21" s="81"/>
      <c r="D21" s="203"/>
      <c r="E21" s="209" t="s">
        <v>116</v>
      </c>
      <c r="F21" s="204"/>
      <c r="G21" s="205"/>
      <c r="H21" s="206"/>
      <c r="I21" s="107"/>
      <c r="J21" s="207"/>
      <c r="K21" s="208"/>
    </row>
    <row r="22" spans="3:11" x14ac:dyDescent="0.2">
      <c r="C22" s="78"/>
      <c r="D22" s="90"/>
      <c r="E22" s="327" t="s">
        <v>123</v>
      </c>
      <c r="F22" s="327"/>
      <c r="G22" s="327"/>
      <c r="H22" s="327"/>
      <c r="I22" s="327"/>
      <c r="J22" s="327"/>
      <c r="K22" s="328"/>
    </row>
    <row r="23" spans="3:11" x14ac:dyDescent="0.2">
      <c r="C23" s="78"/>
      <c r="D23" s="90"/>
      <c r="E23" s="327"/>
      <c r="F23" s="327"/>
      <c r="G23" s="327"/>
      <c r="H23" s="327"/>
      <c r="I23" s="327"/>
      <c r="J23" s="327"/>
      <c r="K23" s="328"/>
    </row>
    <row r="24" spans="3:11" x14ac:dyDescent="0.2">
      <c r="C24" s="78"/>
      <c r="D24" s="90"/>
      <c r="E24" s="93" t="s">
        <v>115</v>
      </c>
      <c r="F24" s="93"/>
      <c r="G24" s="200"/>
      <c r="H24" s="201"/>
      <c r="J24" s="202"/>
      <c r="K24" s="97"/>
    </row>
    <row r="25" spans="3:11" x14ac:dyDescent="0.2">
      <c r="C25" s="78"/>
      <c r="D25" s="98"/>
      <c r="E25" s="99"/>
      <c r="F25" s="99"/>
      <c r="G25" s="100"/>
      <c r="H25" s="199"/>
      <c r="I25" s="36"/>
      <c r="J25" s="119"/>
      <c r="K25" s="101"/>
    </row>
    <row r="26" spans="3:11" x14ac:dyDescent="0.2">
      <c r="E26" s="78"/>
      <c r="F26" s="78"/>
      <c r="H26" s="102"/>
      <c r="K26" s="81"/>
    </row>
    <row r="27" spans="3:11" x14ac:dyDescent="0.2">
      <c r="C27" s="84" t="s">
        <v>53</v>
      </c>
      <c r="D27" s="103" t="s">
        <v>90</v>
      </c>
      <c r="F27" s="104"/>
      <c r="K27" s="78"/>
    </row>
    <row r="28" spans="3:11" ht="18.75" customHeight="1" x14ac:dyDescent="0.2">
      <c r="C28" s="78"/>
      <c r="D28" s="105"/>
      <c r="E28" s="106" t="s">
        <v>69</v>
      </c>
      <c r="F28" s="107" t="s">
        <v>91</v>
      </c>
      <c r="G28" s="107"/>
      <c r="H28" s="107"/>
      <c r="I28" s="107"/>
      <c r="J28" s="107"/>
      <c r="K28" s="108"/>
    </row>
    <row r="29" spans="3:11" ht="12.75" customHeight="1" x14ac:dyDescent="0.2">
      <c r="C29" s="78"/>
      <c r="D29" s="90"/>
      <c r="E29" s="103"/>
      <c r="F29" s="10" t="str">
        <f>'Agreement in tables 2x2'!D8</f>
        <v>Classification 2x2 matrix. If one of the raters is a standard, this one must appear by rows.</v>
      </c>
      <c r="K29" s="118"/>
    </row>
    <row r="30" spans="3:11" x14ac:dyDescent="0.2">
      <c r="C30" s="78"/>
      <c r="D30" s="90"/>
      <c r="F30" s="10" t="str">
        <f>'!'!D17</f>
        <v>Sampling type:</v>
      </c>
      <c r="K30" s="27"/>
    </row>
    <row r="31" spans="3:11" x14ac:dyDescent="0.2">
      <c r="C31" s="78"/>
      <c r="D31" s="90"/>
      <c r="E31" s="103"/>
      <c r="F31" s="109" t="s">
        <v>92</v>
      </c>
      <c r="K31" s="27"/>
    </row>
    <row r="32" spans="3:11" x14ac:dyDescent="0.2">
      <c r="C32" s="78"/>
      <c r="D32" s="90"/>
      <c r="E32" s="103"/>
      <c r="F32" s="110" t="s">
        <v>93</v>
      </c>
      <c r="K32" s="27"/>
    </row>
    <row r="33" spans="3:11" ht="20.25" customHeight="1" x14ac:dyDescent="0.2">
      <c r="C33" s="78"/>
      <c r="D33" s="90"/>
      <c r="E33" s="103" t="s">
        <v>94</v>
      </c>
      <c r="F33" s="78" t="s">
        <v>95</v>
      </c>
      <c r="I33" s="112"/>
      <c r="J33" s="112"/>
      <c r="K33" s="113"/>
    </row>
    <row r="34" spans="3:11" ht="16.5" customHeight="1" x14ac:dyDescent="0.2">
      <c r="C34" s="78"/>
      <c r="D34" s="90"/>
      <c r="E34" s="103"/>
      <c r="F34" s="192" t="s">
        <v>111</v>
      </c>
      <c r="I34" s="112"/>
      <c r="J34" s="112"/>
      <c r="K34" s="113"/>
    </row>
    <row r="35" spans="3:11" ht="15.75" customHeight="1" x14ac:dyDescent="0.2">
      <c r="C35" s="78"/>
      <c r="D35" s="90"/>
      <c r="E35" s="103" t="s">
        <v>96</v>
      </c>
      <c r="F35" s="10" t="s">
        <v>55</v>
      </c>
      <c r="I35" s="112"/>
      <c r="J35" s="112"/>
      <c r="K35" s="27"/>
    </row>
    <row r="36" spans="3:11" x14ac:dyDescent="0.2">
      <c r="C36" s="78"/>
      <c r="D36" s="90"/>
      <c r="E36" s="176"/>
      <c r="F36" s="175" t="s">
        <v>56</v>
      </c>
      <c r="G36" s="177"/>
      <c r="H36" s="177"/>
      <c r="I36" s="178"/>
      <c r="J36" s="178"/>
      <c r="K36" s="179"/>
    </row>
    <row r="37" spans="3:11" x14ac:dyDescent="0.2">
      <c r="C37" s="78"/>
      <c r="D37" s="90"/>
      <c r="E37" s="103"/>
      <c r="F37" s="104" t="s">
        <v>57</v>
      </c>
      <c r="I37" s="112"/>
      <c r="J37" s="112"/>
      <c r="K37" s="27"/>
    </row>
    <row r="38" spans="3:11" x14ac:dyDescent="0.2">
      <c r="C38" s="78"/>
      <c r="D38" s="98"/>
      <c r="E38" s="111"/>
      <c r="F38" s="36"/>
      <c r="G38" s="36"/>
      <c r="H38" s="36"/>
      <c r="I38" s="114"/>
      <c r="J38" s="114"/>
      <c r="K38" s="37"/>
    </row>
    <row r="40" spans="3:11" x14ac:dyDescent="0.2">
      <c r="C40" s="84" t="s">
        <v>54</v>
      </c>
      <c r="D40" s="103" t="s">
        <v>97</v>
      </c>
    </row>
    <row r="41" spans="3:11" ht="16.5" customHeight="1" x14ac:dyDescent="0.2">
      <c r="D41" s="115"/>
      <c r="E41" s="226" t="s">
        <v>121</v>
      </c>
      <c r="F41" s="107"/>
      <c r="G41" s="107"/>
      <c r="H41" s="107"/>
      <c r="I41" s="107"/>
      <c r="J41" s="107"/>
      <c r="K41" s="116"/>
    </row>
    <row r="42" spans="3:11" x14ac:dyDescent="0.2">
      <c r="D42" s="117"/>
      <c r="E42" s="225" t="s">
        <v>119</v>
      </c>
      <c r="K42" s="27"/>
    </row>
    <row r="43" spans="3:11" x14ac:dyDescent="0.2">
      <c r="D43" s="117"/>
      <c r="E43" s="225" t="s">
        <v>120</v>
      </c>
      <c r="I43" s="124"/>
      <c r="K43" s="27"/>
    </row>
    <row r="44" spans="3:11" x14ac:dyDescent="0.2">
      <c r="D44" s="98"/>
      <c r="E44" s="36"/>
      <c r="F44" s="36"/>
      <c r="G44" s="36"/>
      <c r="H44" s="36"/>
      <c r="I44" s="36"/>
      <c r="J44" s="36"/>
      <c r="K44" s="37"/>
    </row>
    <row r="45" spans="3:11" ht="9.75" customHeight="1" x14ac:dyDescent="0.2"/>
    <row r="46" spans="3:11" ht="12.75" customHeight="1" x14ac:dyDescent="0.2">
      <c r="C46" s="210" t="s">
        <v>118</v>
      </c>
    </row>
    <row r="47" spans="3:11" ht="25.5" customHeight="1" x14ac:dyDescent="0.2">
      <c r="D47" s="216"/>
      <c r="E47" s="217" t="s">
        <v>98</v>
      </c>
      <c r="F47" s="213" t="s">
        <v>144</v>
      </c>
      <c r="G47" s="214"/>
      <c r="H47" s="214"/>
      <c r="I47" s="212"/>
      <c r="J47" s="212"/>
      <c r="K47" s="215"/>
    </row>
  </sheetData>
  <sheetProtection algorithmName="SHA-512" hashValue="1aZxS5BMT2JLrruQFMUFTYsf8y39Z9FsPAMC7IIbrUn/3d0V8wmjRyZ8h5FzeYIS2HNZAeADaJGVbBToG7bIDg==" saltValue="o1EZ7eusHNmWbam7M3R75Q==" spinCount="100000" sheet="1" selectLockedCells="1" selectUnlockedCells="1"/>
  <mergeCells count="2">
    <mergeCell ref="E22:K23"/>
    <mergeCell ref="E8:J9"/>
  </mergeCells>
  <phoneticPr fontId="3" type="noConversion"/>
  <hyperlinks>
    <hyperlink ref="F36" r:id="rId1" xr:uid="{00000000-0004-0000-0000-000003000000}"/>
    <hyperlink ref="F47" r:id="rId2" xr:uid="{00000000-0004-0000-0000-000005000000}"/>
    <hyperlink ref="E17" r:id="rId3" xr:uid="{15C346B5-7E08-4378-9BDA-E0B12F419BE7}"/>
    <hyperlink ref="E16" r:id="rId4" xr:uid="{521F4DE6-4E75-427C-A230-EA0FA819C3C0}"/>
    <hyperlink ref="E15" r:id="rId5" xr:uid="{D2207EA9-506A-4A98-84E7-FDCA67343DC9}"/>
    <hyperlink ref="E14" r:id="rId6" display="Pedro Femia Marzo, Antonio Martín Andrés" xr:uid="{19623174-74D9-4294-A08E-E67621ADDBF9}"/>
  </hyperlinks>
  <pageMargins left="0.75" right="0.75" top="1" bottom="1" header="0" footer="0"/>
  <pageSetup paperSize="9" orientation="portrait" horizontalDpi="1200" verticalDpi="1200" r:id="rId7"/>
  <headerFooter alignWithMargins="0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DC83"/>
  <sheetViews>
    <sheetView showGridLines="0" tabSelected="1" workbookViewId="0">
      <pane ySplit="6" topLeftCell="A7" activePane="bottomLeft" state="frozenSplit"/>
      <selection activeCell="B22" sqref="B22"/>
      <selection pane="bottomLeft" activeCell="E11" sqref="E11"/>
    </sheetView>
  </sheetViews>
  <sheetFormatPr baseColWidth="10" defaultRowHeight="12.75" x14ac:dyDescent="0.2"/>
  <cols>
    <col min="1" max="1" width="3.42578125" customWidth="1"/>
    <col min="2" max="2" width="2" bestFit="1" customWidth="1"/>
    <col min="4" max="4" width="16.42578125" customWidth="1"/>
    <col min="5" max="5" width="11.140625" customWidth="1"/>
    <col min="7" max="7" width="5.85546875" customWidth="1"/>
    <col min="8" max="9" width="12.85546875" customWidth="1"/>
    <col min="10" max="10" width="12.5703125" customWidth="1"/>
    <col min="11" max="11" width="8.140625" customWidth="1"/>
    <col min="12" max="12" width="6.28515625" customWidth="1"/>
    <col min="13" max="13" width="12" style="273" customWidth="1"/>
    <col min="14" max="14" width="11.42578125" style="273"/>
    <col min="15" max="16" width="12" style="273" customWidth="1"/>
    <col min="17" max="20" width="11.42578125" style="273"/>
    <col min="21" max="21" width="10.7109375" style="273" customWidth="1"/>
    <col min="22" max="23" width="11.42578125" style="273" customWidth="1"/>
    <col min="24" max="24" width="11.85546875" style="279" customWidth="1"/>
    <col min="25" max="25" width="6.5703125" style="273" customWidth="1"/>
    <col min="26" max="28" width="11.42578125" style="273" customWidth="1"/>
    <col min="29" max="29" width="8.28515625" style="273" customWidth="1"/>
    <col min="30" max="30" width="2" style="273" customWidth="1"/>
    <col min="31" max="31" width="4" style="273" customWidth="1"/>
    <col min="32" max="32" width="12.7109375" style="273" customWidth="1"/>
    <col min="33" max="33" width="4" style="273" customWidth="1"/>
    <col min="34" max="34" width="14.28515625" style="273" customWidth="1"/>
    <col min="35" max="36" width="6" style="273" customWidth="1"/>
    <col min="37" max="37" width="8.42578125" style="273" customWidth="1"/>
    <col min="38" max="38" width="6.5703125" style="273" customWidth="1"/>
    <col min="39" max="39" width="12" style="273" customWidth="1"/>
    <col min="40" max="40" width="11" style="273" customWidth="1"/>
    <col min="41" max="43" width="5.5703125" style="273" customWidth="1"/>
    <col min="44" max="45" width="8.5703125" style="273" customWidth="1"/>
    <col min="46" max="47" width="7.5703125" style="273" customWidth="1"/>
    <col min="48" max="48" width="12.5703125" style="273" customWidth="1"/>
    <col min="49" max="57" width="11.42578125" style="273" customWidth="1"/>
    <col min="58" max="58" width="0.28515625" style="273" customWidth="1"/>
    <col min="59" max="59" width="1.28515625" style="279" customWidth="1"/>
    <col min="60" max="63" width="11.42578125" style="273" customWidth="1"/>
    <col min="64" max="64" width="17.28515625" style="273" customWidth="1"/>
    <col min="65" max="65" width="5" style="273" customWidth="1"/>
    <col min="66" max="107" width="11.42578125" style="273"/>
  </cols>
  <sheetData>
    <row r="1" spans="1:107" s="132" customFormat="1" ht="15.75" x14ac:dyDescent="0.25">
      <c r="B1" s="137"/>
      <c r="K1" s="138"/>
      <c r="L1" s="139"/>
      <c r="M1" s="262"/>
      <c r="N1" s="263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4"/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62"/>
      <c r="BV1" s="262"/>
      <c r="BW1" s="262"/>
      <c r="BX1" s="262"/>
      <c r="BY1" s="262"/>
      <c r="BZ1" s="262"/>
      <c r="CA1" s="262"/>
      <c r="CB1" s="262"/>
      <c r="CC1" s="262"/>
      <c r="CD1" s="262"/>
      <c r="CE1" s="262"/>
      <c r="CF1" s="262"/>
      <c r="CG1" s="262"/>
      <c r="CH1" s="262"/>
      <c r="CI1" s="262"/>
      <c r="CJ1" s="262"/>
      <c r="CK1" s="262"/>
      <c r="CL1" s="262"/>
      <c r="CM1" s="262"/>
      <c r="CN1" s="262"/>
      <c r="CO1" s="262"/>
      <c r="CP1" s="262"/>
      <c r="CQ1" s="262"/>
      <c r="CR1" s="262"/>
      <c r="CS1" s="262"/>
      <c r="CT1" s="262"/>
      <c r="CU1" s="262"/>
      <c r="CV1" s="262"/>
      <c r="CW1" s="262"/>
      <c r="CX1" s="262"/>
      <c r="CY1" s="262"/>
      <c r="CZ1" s="262"/>
      <c r="DA1" s="262"/>
      <c r="DB1" s="262"/>
      <c r="DC1" s="262"/>
    </row>
    <row r="2" spans="1:107" s="132" customFormat="1" ht="18" x14ac:dyDescent="0.25">
      <c r="B2" s="137"/>
      <c r="C2" s="137"/>
      <c r="D2" s="258" t="s">
        <v>132</v>
      </c>
      <c r="E2" s="137"/>
      <c r="F2" s="137"/>
      <c r="G2" s="137"/>
      <c r="H2" s="137"/>
      <c r="I2" s="137"/>
      <c r="J2" s="137"/>
      <c r="L2" s="139"/>
      <c r="M2" s="262"/>
      <c r="N2" s="263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4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</row>
    <row r="3" spans="1:107" s="132" customFormat="1" ht="15.75" x14ac:dyDescent="0.25">
      <c r="B3" s="137"/>
      <c r="C3" s="137"/>
      <c r="D3" s="261" t="s">
        <v>143</v>
      </c>
      <c r="E3" s="137"/>
      <c r="F3" s="137"/>
      <c r="G3" s="137"/>
      <c r="H3" s="137"/>
      <c r="I3" s="137"/>
      <c r="J3" s="137"/>
      <c r="L3" s="139"/>
      <c r="M3" s="265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4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2"/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2"/>
      <c r="DC3" s="262"/>
    </row>
    <row r="4" spans="1:107" s="142" customFormat="1" ht="15.75" customHeight="1" x14ac:dyDescent="0.2">
      <c r="B4" s="143"/>
      <c r="C4" s="330" t="str">
        <f>'!'!B3</f>
        <v>Estimation of asymptotic agreement measures according to the model Delta in tables 2x2</v>
      </c>
      <c r="D4" s="330"/>
      <c r="E4" s="330"/>
      <c r="F4" s="330"/>
      <c r="G4" s="330"/>
      <c r="H4" s="330"/>
      <c r="I4" s="330"/>
      <c r="J4" s="330"/>
      <c r="K4" s="330"/>
      <c r="L4" s="144"/>
      <c r="M4" s="266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8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</row>
    <row r="5" spans="1:107" s="132" customFormat="1" ht="3.75" customHeight="1" x14ac:dyDescent="0.25">
      <c r="B5" s="137"/>
      <c r="C5" s="330"/>
      <c r="D5" s="330"/>
      <c r="E5" s="330"/>
      <c r="F5" s="330"/>
      <c r="G5" s="330"/>
      <c r="H5" s="330"/>
      <c r="I5" s="330"/>
      <c r="J5" s="330"/>
      <c r="K5" s="330"/>
      <c r="L5" s="139"/>
      <c r="M5" s="265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4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62"/>
      <c r="CV5" s="262"/>
      <c r="CW5" s="262"/>
      <c r="CX5" s="262"/>
      <c r="CY5" s="262"/>
      <c r="CZ5" s="262"/>
      <c r="DA5" s="262"/>
      <c r="DB5" s="262"/>
      <c r="DC5" s="262"/>
    </row>
    <row r="6" spans="1:107" s="140" customFormat="1" ht="12.75" customHeight="1" x14ac:dyDescent="0.2">
      <c r="C6" s="259" t="s">
        <v>58</v>
      </c>
      <c r="D6" s="260"/>
      <c r="E6" s="260"/>
      <c r="F6" s="260"/>
      <c r="G6" s="260"/>
      <c r="H6" s="260"/>
      <c r="I6" s="260"/>
      <c r="J6" s="260"/>
      <c r="K6" s="260"/>
      <c r="L6" s="141"/>
      <c r="M6" s="319"/>
      <c r="N6" s="320"/>
      <c r="O6" s="320"/>
      <c r="P6" s="320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70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</row>
    <row r="7" spans="1:107" s="131" customFormat="1" ht="12.75" customHeight="1" thickBot="1" x14ac:dyDescent="0.25">
      <c r="A7" s="131" t="str">
        <f>IF(OR(ISBLANK('!'!A5),ISERROR('!'!A5)),"",'!'!A5)</f>
        <v/>
      </c>
      <c r="B7" s="131" t="str">
        <f>IF(OR(ISBLANK('!'!B5),ISERROR('!'!B5)),"",'!'!B5)</f>
        <v/>
      </c>
      <c r="C7" s="133"/>
      <c r="D7" s="134"/>
      <c r="E7" s="133" t="str">
        <f>IF(OR(ISBLANK('!'!E5),ISERROR('!'!E5)),"",'!'!E5)</f>
        <v/>
      </c>
      <c r="F7" s="131" t="str">
        <f>IF(OR(ISBLANK('!'!F5),ISERROR('!'!F5)),"",'!'!F5)</f>
        <v/>
      </c>
      <c r="G7" s="131" t="str">
        <f>IF(OR(ISBLANK('!'!G5),ISERROR('!'!G5)),"",'!'!G5)</f>
        <v/>
      </c>
      <c r="H7" s="131" t="str">
        <f>IF(OR(ISBLANK('!'!H5),ISERROR('!'!H5)),"",'!'!H5)</f>
        <v/>
      </c>
      <c r="I7" s="131" t="str">
        <f>IF(OR(ISBLANK('!'!I5),ISERROR('!'!I5)),"",'!'!I5)</f>
        <v/>
      </c>
      <c r="J7" s="131" t="str">
        <f>IF(OR(ISBLANK('!'!J5),ISERROR('!'!J5)),"",'!'!J5)</f>
        <v/>
      </c>
      <c r="K7" s="131" t="str">
        <f>IF(OR(ISBLANK('!'!K5),ISERROR('!'!K5)),"",'!'!K5)</f>
        <v/>
      </c>
      <c r="L7" s="131" t="str">
        <f>IF(OR(ISBLANK('!'!L5),ISERROR('!'!L5)),"",'!'!L5)</f>
        <v/>
      </c>
      <c r="M7" s="321"/>
      <c r="N7" s="321"/>
      <c r="O7" s="321"/>
      <c r="P7" s="32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2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</row>
    <row r="8" spans="1:107" ht="13.5" thickBot="1" x14ac:dyDescent="0.25">
      <c r="A8" t="str">
        <f>IF(OR(ISBLANK('!'!A7),ISERROR('!'!A7)),"",'!'!A7)</f>
        <v/>
      </c>
      <c r="B8" s="42">
        <f>IF(OR(ISBLANK('!'!B7),ISERROR('!'!B7)),"",'!'!B7)</f>
        <v>1</v>
      </c>
      <c r="C8" s="136" t="str">
        <f>IF(OR(ISBLANK('!'!C7),ISERROR('!'!C7)),"",'!'!C7)</f>
        <v>Data</v>
      </c>
      <c r="D8" s="39" t="str">
        <f>IF(OR(ISBLANK('!'!D7),ISERROR('!'!D7)),"",'!'!D7)</f>
        <v>Classification 2x2 matrix. If one of the raters is a standard, this one must appear by rows.</v>
      </c>
      <c r="E8" s="39"/>
      <c r="F8" s="39"/>
      <c r="G8" s="39"/>
      <c r="H8" s="39"/>
      <c r="I8" s="39"/>
      <c r="J8" s="39"/>
      <c r="K8" s="39"/>
      <c r="L8" s="39" t="str">
        <f>IF(OR(ISBLANK('!'!L7),ISERROR('!'!L7)),"",'!'!L7)</f>
        <v/>
      </c>
      <c r="M8" s="322"/>
      <c r="N8" s="343" t="s">
        <v>149</v>
      </c>
      <c r="O8" s="343"/>
      <c r="P8" s="322"/>
      <c r="X8" s="273"/>
      <c r="AN8" s="274"/>
      <c r="AO8" s="275"/>
      <c r="AP8" s="275"/>
      <c r="AQ8" s="276"/>
      <c r="AR8" s="277"/>
      <c r="AS8" s="177"/>
      <c r="AV8" s="278"/>
      <c r="AW8" s="275"/>
      <c r="AX8" s="275"/>
      <c r="AY8" s="275"/>
      <c r="AZ8" s="275"/>
      <c r="BA8" s="275"/>
      <c r="BB8" s="275"/>
      <c r="BC8" s="276"/>
      <c r="BF8" s="331"/>
    </row>
    <row r="9" spans="1:107" ht="13.5" thickBot="1" x14ac:dyDescent="0.25">
      <c r="A9" t="str">
        <f>IF(OR(ISBLANK('!'!A8),ISERROR('!'!A8)),"",'!'!A8)</f>
        <v/>
      </c>
      <c r="B9" t="str">
        <f>IF(OR(ISBLANK('!'!B8),ISERROR('!'!B8)),"",'!'!B8)</f>
        <v/>
      </c>
      <c r="C9" s="5" t="str">
        <f>IF(OR(ISBLANK('!'!C8),ISERROR('!'!C8)),"",'!'!C8)</f>
        <v/>
      </c>
      <c r="D9" t="str">
        <f>IF(OR(ISBLANK('!'!D8),ISERROR('!'!D8)),"",'!'!D8)</f>
        <v/>
      </c>
      <c r="E9" t="str">
        <f>IF(OR(ISBLANK('!'!E8),ISERROR('!'!E8)),"",'!'!E8)</f>
        <v/>
      </c>
      <c r="F9" t="str">
        <f>IF(OR(ISBLANK('!'!F8),ISERROR('!'!F8)),"",'!'!F8)</f>
        <v/>
      </c>
      <c r="G9" t="str">
        <f>IF(OR(ISBLANK('!'!G8),ISERROR('!'!G8)),"",'!'!G8)</f>
        <v/>
      </c>
      <c r="H9" t="str">
        <f>IF(OR(ISBLANK('!'!H8),ISERROR('!'!H8)),"",'!'!H8)</f>
        <v/>
      </c>
      <c r="I9" t="str">
        <f>IF(OR(ISBLANK('!'!#REF!),ISERROR('!'!#REF!)),"",'!'!#REF!)</f>
        <v/>
      </c>
      <c r="J9" t="str">
        <f>IF(OR(ISBLANK('!'!#REF!),ISERROR('!'!#REF!)),"",'!'!#REF!)</f>
        <v/>
      </c>
      <c r="K9" t="str">
        <f>IF(OR(ISBLANK('!'!K8),ISERROR('!'!K8)),"",'!'!K8)</f>
        <v/>
      </c>
      <c r="L9" t="str">
        <f>IF(OR(ISBLANK('!'!L8),ISERROR('!'!L8)),"",'!'!L8)</f>
        <v/>
      </c>
      <c r="M9" s="322"/>
      <c r="N9" s="322"/>
      <c r="O9" s="322"/>
      <c r="P9" s="322"/>
      <c r="Q9" s="280"/>
      <c r="R9" s="280"/>
      <c r="X9" s="273"/>
      <c r="AN9" s="281"/>
      <c r="AO9" s="177"/>
      <c r="AP9" s="177"/>
      <c r="AQ9" s="282"/>
      <c r="AR9" s="283"/>
      <c r="AS9" s="177"/>
      <c r="AV9" s="278"/>
      <c r="AW9" s="275"/>
      <c r="AX9" s="275"/>
      <c r="AY9" s="275"/>
      <c r="AZ9" s="275"/>
      <c r="BA9" s="275"/>
      <c r="BB9" s="275"/>
      <c r="BC9" s="276"/>
      <c r="BF9" s="331"/>
    </row>
    <row r="10" spans="1:107" s="13" customFormat="1" ht="13.5" thickBot="1" x14ac:dyDescent="0.25">
      <c r="A10" s="13" t="str">
        <f>IF(OR(ISBLANK('!'!A9),ISERROR('!'!A9)),"",'!'!A9)</f>
        <v/>
      </c>
      <c r="B10" s="13" t="str">
        <f>IF(OR(ISBLANK('!'!B9),ISERROR('!'!B9)),"",'!'!B9)</f>
        <v/>
      </c>
      <c r="C10" s="12" t="str">
        <f>IF(OR(ISBLANK('!'!C9),ISERROR('!'!C9)),"",'!'!C9)</f>
        <v/>
      </c>
      <c r="D10" t="str">
        <f>IF(OR(ISBLANK('!'!D9),ISERROR('!'!D9)),"",'!'!D9)</f>
        <v/>
      </c>
      <c r="E10" s="13" t="str">
        <f>IF(OR(ISBLANK('!'!E9),ISERROR('!'!E9)),"",'!'!E9)</f>
        <v>C1</v>
      </c>
      <c r="F10" s="13" t="str">
        <f>IF(OR(ISBLANK('!'!F9),ISERROR('!'!F9)),"",'!'!F9)</f>
        <v>C2</v>
      </c>
      <c r="G10" t="str">
        <f>IF(OR(ISBLANK('!'!G9),ISERROR('!'!G9)),"",'!'!G9)</f>
        <v/>
      </c>
      <c r="M10" s="322"/>
      <c r="N10" s="323"/>
      <c r="O10" s="322"/>
      <c r="P10" s="322"/>
      <c r="Q10" s="284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85"/>
      <c r="AL10" s="286"/>
      <c r="AM10" s="286"/>
      <c r="AN10" s="287"/>
      <c r="AO10" s="288"/>
      <c r="AP10" s="288"/>
      <c r="AQ10" s="289"/>
      <c r="AR10" s="290"/>
      <c r="AS10" s="288"/>
      <c r="AT10" s="285"/>
      <c r="AU10" s="285"/>
      <c r="AV10" s="291"/>
      <c r="AW10" s="292"/>
      <c r="AX10" s="292"/>
      <c r="AY10" s="292"/>
      <c r="AZ10" s="292"/>
      <c r="BA10" s="292"/>
      <c r="BB10" s="292"/>
      <c r="BC10" s="293"/>
      <c r="BD10" s="285"/>
      <c r="BE10" s="286"/>
      <c r="BF10" s="331"/>
      <c r="BG10" s="294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</row>
    <row r="11" spans="1:107" x14ac:dyDescent="0.2">
      <c r="A11" t="str">
        <f>IF(OR(ISBLANK('!'!A10),ISERROR('!'!A10)),"",'!'!A10)</f>
        <v/>
      </c>
      <c r="B11" t="str">
        <f>IF(OR(ISBLANK('!'!B10),ISERROR('!'!B10)),"",'!'!B10)</f>
        <v/>
      </c>
      <c r="C11" s="12" t="str">
        <f>IF(OR(ISBLANK('!'!C10),ISERROR('!'!C10)),"",'!'!C10)</f>
        <v/>
      </c>
      <c r="D11" s="13" t="str">
        <f>IF(OR(ISBLANK('!'!D10),ISERROR('!'!D10)),"",'!'!D10)</f>
        <v>R1</v>
      </c>
      <c r="E11" s="25">
        <v>10</v>
      </c>
      <c r="F11" s="25">
        <v>3</v>
      </c>
      <c r="G11" s="26">
        <f>IF(OR(ISBLANK('!'!G10),ISERROR('!'!G10)),"",'!'!G10)</f>
        <v>13</v>
      </c>
      <c r="H11" t="str">
        <f>IF(OR(ISBLANK('!'!H10),ISERROR('!'!H10)),"",'!'!H10)</f>
        <v/>
      </c>
      <c r="M11" s="322"/>
      <c r="N11" s="323"/>
      <c r="O11" s="322"/>
      <c r="P11" s="322"/>
      <c r="Q11" s="284"/>
      <c r="R11" s="295"/>
      <c r="X11" s="273"/>
      <c r="AN11" s="296"/>
      <c r="AO11" s="297"/>
      <c r="AP11" s="297"/>
      <c r="AQ11" s="298"/>
      <c r="AR11" s="299"/>
      <c r="AS11" s="297"/>
      <c r="AT11" s="300"/>
      <c r="AU11" s="300"/>
      <c r="AV11" s="301"/>
      <c r="AW11" s="302"/>
      <c r="AX11" s="177"/>
      <c r="AY11" s="177"/>
      <c r="AZ11" s="177"/>
      <c r="BA11" s="177"/>
      <c r="BB11" s="177"/>
      <c r="BC11" s="282"/>
    </row>
    <row r="12" spans="1:107" x14ac:dyDescent="0.2">
      <c r="A12" t="str">
        <f>IF(OR(ISBLANK('!'!A11),ISERROR('!'!A11)),"",'!'!A11)</f>
        <v/>
      </c>
      <c r="B12" t="str">
        <f>IF(OR(ISBLANK('!'!B11),ISERROR('!'!B11)),"",'!'!B11)</f>
        <v/>
      </c>
      <c r="C12" s="12" t="str">
        <f>IF(OR(ISBLANK('!'!C11),ISERROR('!'!C11)),"",'!'!C11)</f>
        <v/>
      </c>
      <c r="D12" s="13" t="str">
        <f>IF(OR(ISBLANK('!'!D11),ISERROR('!'!D11)),"",'!'!D11)</f>
        <v>R2</v>
      </c>
      <c r="E12" s="25">
        <v>4</v>
      </c>
      <c r="F12" s="25">
        <v>12</v>
      </c>
      <c r="G12" s="26">
        <f>IF(OR(ISBLANK('!'!G11),ISERROR('!'!G11)),"",'!'!G11)</f>
        <v>16</v>
      </c>
      <c r="H12" t="str">
        <f>IF(OR(ISBLANK('!'!H11),ISERROR('!'!H11)),"",'!'!H11)</f>
        <v/>
      </c>
      <c r="M12" s="322"/>
      <c r="N12" s="324" t="s">
        <v>145</v>
      </c>
      <c r="O12" s="324" t="s">
        <v>146</v>
      </c>
      <c r="P12" s="322"/>
      <c r="X12" s="273"/>
      <c r="AN12" s="296"/>
      <c r="AO12" s="297"/>
      <c r="AP12" s="297"/>
      <c r="AQ12" s="298"/>
      <c r="AR12" s="299"/>
      <c r="AS12" s="297"/>
      <c r="AT12" s="300"/>
      <c r="AU12" s="300"/>
      <c r="AV12" s="301"/>
      <c r="AW12" s="302"/>
      <c r="AX12" s="177"/>
      <c r="AY12" s="177"/>
      <c r="AZ12" s="177"/>
      <c r="BA12" s="177"/>
      <c r="BB12" s="177"/>
      <c r="BC12" s="282"/>
    </row>
    <row r="13" spans="1:107" ht="13.5" thickBot="1" x14ac:dyDescent="0.25">
      <c r="A13" t="str">
        <f>IF(OR(ISBLANK('!'!A12),ISERROR('!'!A12)),"",'!'!A12)</f>
        <v/>
      </c>
      <c r="B13" t="str">
        <f>IF(OR(ISBLANK('!'!B12),ISERROR('!'!B12)),"",'!'!B12)</f>
        <v/>
      </c>
      <c r="C13" s="12" t="str">
        <f>IF(OR(ISBLANK('!'!C12),ISERROR('!'!C12)),"",'!'!C12)</f>
        <v/>
      </c>
      <c r="D13" t="str">
        <f>IF(OR(ISBLANK('!'!D12),ISERROR('!'!D12)),"",'!'!D12)</f>
        <v/>
      </c>
      <c r="E13">
        <f>IF(OR(ISBLANK('!'!E12),ISERROR('!'!E12)),"",'!'!E12)</f>
        <v>14</v>
      </c>
      <c r="F13">
        <f>IF(OR(ISBLANK('!'!F12),ISERROR('!'!F12)),"",'!'!F12)</f>
        <v>15</v>
      </c>
      <c r="G13" s="26">
        <f>IF(OR(ISBLANK('!'!G12),ISERROR('!'!G12)),"",'!'!G12)</f>
        <v>29</v>
      </c>
      <c r="H13" t="str">
        <f>IF(OR(ISBLANK('!'!H12),ISERROR('!'!H12)),"",'!'!H12)</f>
        <v/>
      </c>
      <c r="M13" s="322"/>
      <c r="N13" s="322"/>
      <c r="O13" s="322"/>
      <c r="P13" s="322"/>
      <c r="X13" s="273"/>
      <c r="AN13" s="303"/>
      <c r="AO13" s="304"/>
      <c r="AP13" s="304"/>
      <c r="AQ13" s="305"/>
      <c r="AR13" s="306"/>
      <c r="AS13" s="177"/>
      <c r="AV13" s="303"/>
      <c r="AW13" s="304"/>
      <c r="AX13" s="304"/>
      <c r="AY13" s="304"/>
      <c r="AZ13" s="304"/>
      <c r="BA13" s="304"/>
      <c r="BB13" s="304"/>
      <c r="BC13" s="305"/>
      <c r="BD13" s="177"/>
    </row>
    <row r="14" spans="1:107" x14ac:dyDescent="0.2">
      <c r="A14" t="str">
        <f>IF(OR(ISBLANK('!'!A13),ISERROR('!'!A13)),"",'!'!A13)</f>
        <v/>
      </c>
      <c r="B14" t="str">
        <f>IF(OR(ISBLANK('!'!B13),ISERROR('!'!B13)),"",'!'!B13)</f>
        <v/>
      </c>
      <c r="C14" s="12" t="str">
        <f>IF(OR(ISBLANK('!'!C13),ISERROR('!'!C13)),"",'!'!C13)</f>
        <v/>
      </c>
      <c r="D14" s="42" t="str">
        <f>IF(OR(ISBLANK('!'!D13),ISERROR('!'!D13)),"",'!'!D13)</f>
        <v>Problem type:</v>
      </c>
      <c r="E14" s="47" t="str">
        <f>IF(OR(ISBLANK('!'!E13),ISERROR('!'!E13)),"",'!'!E13)</f>
        <v>Normal (2.2)</v>
      </c>
      <c r="F14" s="47"/>
      <c r="G14" s="43">
        <f>IF(OR(ISBLANK('!'!G13),ISERROR('!'!G13)),"",'!'!G13)</f>
        <v>2</v>
      </c>
      <c r="H14" t="str">
        <f>IF(OR(ISBLANK('!'!H13),ISERROR('!'!H13)),"",'!'!H13)</f>
        <v/>
      </c>
      <c r="I14" s="10"/>
      <c r="J14" s="10"/>
      <c r="K14" s="193"/>
      <c r="L14" t="str">
        <f>IF(OR(ISBLANK('!'!L13),ISERROR('!'!L13)),"",'!'!L13)</f>
        <v/>
      </c>
      <c r="M14" s="322"/>
      <c r="N14" s="322"/>
      <c r="O14" s="322"/>
      <c r="P14" s="322"/>
      <c r="X14" s="273"/>
      <c r="AN14" s="177"/>
      <c r="AO14" s="177"/>
      <c r="AP14" s="177"/>
      <c r="AQ14" s="177"/>
      <c r="AR14" s="177"/>
      <c r="AS14" s="177"/>
      <c r="AV14" s="177"/>
      <c r="AW14" s="177"/>
      <c r="AX14" s="177"/>
      <c r="AY14" s="177"/>
      <c r="AZ14" s="177"/>
      <c r="BA14" s="177"/>
      <c r="BB14" s="177"/>
      <c r="BC14" s="177"/>
      <c r="BD14" s="177"/>
    </row>
    <row r="15" spans="1:107" x14ac:dyDescent="0.2">
      <c r="A15" t="str">
        <f>IF(OR(ISBLANK('!'!A14),ISERROR('!'!A14)),"",'!'!A14)</f>
        <v/>
      </c>
      <c r="B15" t="str">
        <f>IF(OR(ISBLANK('!'!B14),ISERROR('!'!B14)),"",'!'!B14)</f>
        <v/>
      </c>
      <c r="C15" s="12" t="str">
        <f>IF(OR(ISBLANK('!'!C14),ISERROR('!'!C14)),"",'!'!C14)</f>
        <v/>
      </c>
      <c r="D15" s="42" t="str">
        <f>IF(OR(ISBLANK('!'!D14),ISERROR('!'!D14)),"",'!'!D14)</f>
        <v>Kappa (SE)=</v>
      </c>
      <c r="E15" s="251">
        <f>IF(OR(ISBLANK('!'!E14),ISERROR('!'!E14)),"",'!'!E14)</f>
        <v>0.51551312649164682</v>
      </c>
      <c r="F15" s="252">
        <f>IF(OR(ISBLANK('!'!F14),ISERROR('!'!F14)),"",'!'!F14)</f>
        <v>0.15902543198590346</v>
      </c>
      <c r="M15" s="322"/>
      <c r="N15" s="322"/>
      <c r="O15" s="322"/>
      <c r="P15" s="322"/>
      <c r="X15" s="273"/>
      <c r="AN15" s="177"/>
      <c r="AO15" s="177"/>
      <c r="AP15" s="177"/>
      <c r="AQ15" s="177"/>
      <c r="AR15" s="177"/>
      <c r="AS15" s="177"/>
      <c r="AV15" s="177"/>
      <c r="AW15" s="177"/>
      <c r="AX15" s="177"/>
      <c r="AY15" s="177"/>
      <c r="AZ15" s="177"/>
      <c r="BA15" s="177"/>
      <c r="BB15" s="177"/>
      <c r="BC15" s="177"/>
      <c r="BD15" s="177"/>
    </row>
    <row r="16" spans="1:107" x14ac:dyDescent="0.2">
      <c r="A16" t="str">
        <f>IF(OR(ISBLANK('!'!A15),ISERROR('!'!A15)),"",'!'!A15)</f>
        <v/>
      </c>
      <c r="B16" t="str">
        <f>IF(OR(ISBLANK('!'!B15),ISERROR('!'!B15)),"",'!'!B15)</f>
        <v/>
      </c>
      <c r="C16" s="12" t="str">
        <f>IF(OR(ISBLANK('!'!C15),ISERROR('!'!C15)),"",'!'!C15)</f>
        <v/>
      </c>
      <c r="D16" s="341" t="str">
        <f>'!'!G14</f>
        <v/>
      </c>
      <c r="E16" s="341"/>
      <c r="F16" s="341"/>
      <c r="G16" s="341"/>
      <c r="H16" s="341"/>
      <c r="I16" s="341"/>
      <c r="J16" s="194"/>
      <c r="K16" s="193"/>
      <c r="L16" t="str">
        <f>IF(OR(ISBLANK('!'!L15),ISERROR('!'!L15)),"",'!'!L15)</f>
        <v/>
      </c>
      <c r="M16" s="322"/>
      <c r="N16" s="322"/>
      <c r="O16" s="322"/>
      <c r="P16" s="322"/>
      <c r="X16" s="273"/>
      <c r="AN16" s="177"/>
      <c r="AO16" s="177"/>
      <c r="AP16" s="177"/>
      <c r="AQ16" s="177"/>
      <c r="AR16" s="177"/>
      <c r="AS16" s="177"/>
      <c r="AV16" s="177"/>
      <c r="AW16" s="177"/>
      <c r="AX16" s="177"/>
      <c r="AY16" s="177"/>
      <c r="AZ16" s="177"/>
      <c r="BA16" s="177"/>
      <c r="BB16" s="177"/>
      <c r="BC16" s="177"/>
      <c r="BD16" s="177"/>
    </row>
    <row r="17" spans="1:56" ht="13.5" thickBot="1" x14ac:dyDescent="0.25">
      <c r="A17" t="str">
        <f>IF(OR(ISBLANK('!'!A16),ISERROR('!'!A16)),"",'!'!A16)</f>
        <v/>
      </c>
      <c r="B17" s="42">
        <f>IF(OR(ISBLANK('!'!B16),ISERROR('!'!B16)),"",'!'!B16)</f>
        <v>2</v>
      </c>
      <c r="C17" s="136" t="s">
        <v>100</v>
      </c>
      <c r="D17" s="39" t="str">
        <f>IF(OR(ISBLANK('!'!D16),ISERROR('!'!D16)),"",'!'!D16)</f>
        <v/>
      </c>
      <c r="E17" s="39" t="str">
        <f>IF(OR(ISBLANK('!'!E16),ISERROR('!'!E16)),"",'!'!E16)</f>
        <v/>
      </c>
      <c r="F17" s="39" t="str">
        <f>IF(OR(ISBLANK('!'!F16),ISERROR('!'!F16)),"",'!'!F16)</f>
        <v/>
      </c>
      <c r="G17" s="39"/>
      <c r="H17" s="39" t="str">
        <f>IF(OR(ISBLANK('!'!H16),ISERROR('!'!H16)),"",'!'!H16)</f>
        <v/>
      </c>
      <c r="I17" s="39" t="str">
        <f>IF(OR(ISBLANK('!'!I16),ISERROR('!'!I16)),"",'!'!I16)</f>
        <v/>
      </c>
      <c r="J17" s="39" t="str">
        <f>IF(OR(ISBLANK('!'!J16),ISERROR('!'!J16)),"",'!'!J16)</f>
        <v/>
      </c>
      <c r="K17" s="39" t="str">
        <f>IF(OR(ISBLANK('!'!K16),ISERROR('!'!K16)),"",'!'!K16)</f>
        <v/>
      </c>
      <c r="L17" s="39" t="str">
        <f>IF(OR(ISBLANK('!'!L16),ISERROR('!'!L16)),"",'!'!L16)</f>
        <v/>
      </c>
      <c r="M17" s="322"/>
      <c r="N17" s="324" t="s">
        <v>147</v>
      </c>
      <c r="O17" s="324" t="s">
        <v>148</v>
      </c>
      <c r="P17" s="322"/>
      <c r="X17" s="273"/>
      <c r="AV17" s="177"/>
      <c r="AW17" s="177"/>
      <c r="AX17" s="177"/>
      <c r="AY17" s="177"/>
      <c r="AZ17" s="177"/>
      <c r="BA17" s="177"/>
      <c r="BB17" s="177"/>
      <c r="BC17" s="177"/>
      <c r="BD17" s="177"/>
    </row>
    <row r="18" spans="1:56" x14ac:dyDescent="0.2">
      <c r="A18" t="str">
        <f>IF(OR(ISBLANK('!'!A17),ISERROR('!'!A17)),"",'!'!A17)</f>
        <v/>
      </c>
      <c r="B18" t="str">
        <f>IF(OR(ISBLANK('!'!B17),ISERROR('!'!B17)),"",'!'!B17)</f>
        <v/>
      </c>
      <c r="C18" s="12" t="str">
        <f>IF(OR(ISBLANK('!'!C17),ISERROR('!'!C17)),"",'!'!C17)</f>
        <v/>
      </c>
      <c r="D18" s="5" t="str">
        <f>IF(OR(ISBLANK('!'!D17),ISERROR('!'!D17)),"",'!'!D17)</f>
        <v>Sampling type:</v>
      </c>
      <c r="E18" s="44" t="s">
        <v>103</v>
      </c>
      <c r="F18" s="42"/>
      <c r="G18" s="45"/>
      <c r="I18" s="185" t="str">
        <f>IF(OR(ISBLANK('!'!I17),ISERROR('!'!I17)),"",'!'!I17)</f>
        <v>Highlight the valid measures</v>
      </c>
      <c r="L18" t="str">
        <f>IF(OR(ISBLANK('!'!L17),ISERROR('!'!L17)),"",'!'!L17)</f>
        <v/>
      </c>
      <c r="M18" s="322"/>
      <c r="N18" s="322"/>
      <c r="O18" s="322"/>
      <c r="P18" s="322"/>
      <c r="X18" s="273"/>
      <c r="AV18" s="177"/>
      <c r="AW18" s="177"/>
      <c r="AX18" s="177"/>
      <c r="AY18" s="177"/>
      <c r="AZ18" s="177"/>
      <c r="BA18" s="177"/>
      <c r="BB18" s="177"/>
      <c r="BC18" s="177"/>
      <c r="BD18" s="177"/>
    </row>
    <row r="19" spans="1:56" x14ac:dyDescent="0.2">
      <c r="A19" t="str">
        <f>IF(OR(ISBLANK('!'!A18),ISERROR('!'!A18)),"",'!'!A18)</f>
        <v/>
      </c>
      <c r="B19" t="str">
        <f>IF(OR(ISBLANK('!'!B18),ISERROR('!'!B18)),"",'!'!B18)</f>
        <v/>
      </c>
      <c r="C19" s="12" t="str">
        <f>IF(OR(ISBLANK('!'!C18),ISERROR('!'!C18)),"",'!'!C18)</f>
        <v/>
      </c>
      <c r="D19" s="5" t="str">
        <f>IF(OR(ISBLANK('!'!D18),ISERROR('!'!D18)),"",'!'!D18)</f>
        <v>Is R a standard?</v>
      </c>
      <c r="E19" s="48" t="s">
        <v>105</v>
      </c>
      <c r="F19" s="42"/>
      <c r="I19" s="44" t="s">
        <v>105</v>
      </c>
      <c r="J19" s="47"/>
      <c r="L19" t="str">
        <f>IF(OR(ISBLANK('!'!L18),ISERROR('!'!L18)),"",'!'!L18)</f>
        <v/>
      </c>
      <c r="X19" s="273"/>
      <c r="AV19" s="177"/>
      <c r="AW19" s="177"/>
      <c r="AX19" s="177"/>
      <c r="AY19" s="177"/>
      <c r="AZ19" s="177"/>
      <c r="BA19" s="177"/>
      <c r="BB19" s="177"/>
      <c r="BC19" s="177"/>
      <c r="BD19" s="177"/>
    </row>
    <row r="20" spans="1:56" x14ac:dyDescent="0.2">
      <c r="A20" t="str">
        <f>IF(OR(ISBLANK('!'!A19),ISERROR('!'!A19)),"",'!'!A19)</f>
        <v/>
      </c>
      <c r="B20" t="str">
        <f>IF(OR(ISBLANK('!'!B19),ISERROR('!'!B19)),"",'!'!B19)</f>
        <v/>
      </c>
      <c r="C20" s="12" t="str">
        <f>IF(OR(ISBLANK('!'!C19),ISERROR('!'!C19)),"",'!'!C19)</f>
        <v/>
      </c>
      <c r="D20" s="5" t="str">
        <f>IF(OR(ISBLANK('!'!D19),ISERROR('!'!D19)),"",'!'!D19)</f>
        <v>Asymtpotic type:</v>
      </c>
      <c r="E20" s="44">
        <v>0</v>
      </c>
      <c r="F20" s="49"/>
      <c r="I20" s="1" t="str">
        <f>IF(OR(ISBLANK('!'!I19),ISERROR('!'!I19)),"",'!'!I19)</f>
        <v xml:space="preserve">Valid measures are highlighted </v>
      </c>
      <c r="L20" t="str">
        <f>IF(OR(ISBLANK('!'!L19),ISERROR('!'!L19)),"",'!'!L19)</f>
        <v/>
      </c>
      <c r="X20" s="273"/>
      <c r="AV20" s="177"/>
      <c r="AW20" s="177"/>
      <c r="AX20" s="177"/>
      <c r="AY20" s="177"/>
      <c r="AZ20" s="177"/>
      <c r="BA20" s="177"/>
      <c r="BB20" s="177"/>
      <c r="BC20" s="177"/>
      <c r="BD20" s="177"/>
    </row>
    <row r="21" spans="1:56" x14ac:dyDescent="0.2">
      <c r="A21" t="str">
        <f>IF(OR(ISBLANK('!'!A20),ISERROR('!'!A20)),"",'!'!A20)</f>
        <v/>
      </c>
      <c r="B21" t="str">
        <f>IF(OR(ISBLANK('!'!B20),ISERROR('!'!B20)),"",'!'!B20)</f>
        <v/>
      </c>
      <c r="C21" s="12" t="str">
        <f>IF(OR(ISBLANK('!'!C20),ISERROR('!'!C20)),"",'!'!C20)</f>
        <v/>
      </c>
      <c r="D21" t="str">
        <f>IF(OR(ISBLANK('!'!D20),ISERROR('!'!D20)),"",'!'!D20)</f>
        <v/>
      </c>
      <c r="E21" t="str">
        <f>IF(OR(ISBLANK('!'!E20),ISERROR('!'!E20)),"",'!'!E20)</f>
        <v/>
      </c>
      <c r="F21" t="str">
        <f>IF(OR(ISBLANK('!'!F20),ISERROR('!'!F20)),"",'!'!F20)</f>
        <v/>
      </c>
      <c r="G21" t="str">
        <f>IF(OR(ISBLANK('!'!G20),ISERROR('!'!G20)),"",'!'!G20)</f>
        <v/>
      </c>
      <c r="I21" s="75" t="str">
        <f>IF(OR(ISBLANK('!'!I20),ISERROR('!'!I20)),"",'!'!I20)</f>
        <v>depending on the sampling type and whether</v>
      </c>
      <c r="J21" s="47"/>
      <c r="X21" s="273"/>
      <c r="AV21" s="177"/>
      <c r="AW21" s="177"/>
      <c r="AX21" s="177"/>
      <c r="AY21" s="177"/>
      <c r="AZ21" s="177"/>
      <c r="BA21" s="177"/>
      <c r="BB21" s="177"/>
      <c r="BC21" s="177"/>
      <c r="BD21" s="177"/>
    </row>
    <row r="22" spans="1:56" x14ac:dyDescent="0.2">
      <c r="A22" t="str">
        <f>IF(OR(ISBLANK('!'!A21),ISERROR('!'!A21)),"",'!'!A21)</f>
        <v/>
      </c>
      <c r="B22" t="str">
        <f>IF(OR(ISBLANK('!'!B21),ISERROR('!'!B21)),"",'!'!B21)</f>
        <v/>
      </c>
      <c r="C22" s="12" t="str">
        <f>IF(OR(ISBLANK('!'!C21),ISERROR('!'!C21)),"",'!'!C21)</f>
        <v/>
      </c>
      <c r="D22" t="str">
        <f>IF(OR(ISBLANK('!'!D21),ISERROR('!'!D21)),"",'!'!D21)</f>
        <v/>
      </c>
      <c r="E22" t="str">
        <f>IF(OR(ISBLANK('!'!E21),ISERROR('!'!E21)),"",'!'!E21)</f>
        <v/>
      </c>
      <c r="F22" t="str">
        <f>IF(OR(ISBLANK('!'!F21),ISERROR('!'!F21)),"",'!'!F21)</f>
        <v/>
      </c>
      <c r="G22" t="str">
        <f>IF(OR(ISBLANK('!'!G21),ISERROR('!'!G21)),"",'!'!G21)</f>
        <v/>
      </c>
      <c r="H22" t="str">
        <f>IF(OR(ISBLANK('!'!H21),ISERROR('!'!H21)),"",'!'!H21)</f>
        <v/>
      </c>
      <c r="I22" s="75" t="str">
        <f>IF(OR(ISBLANK('!'!I21),ISERROR('!'!I21)),"",'!'!I21)</f>
        <v>a standard rater exists or not.</v>
      </c>
      <c r="J22" s="47"/>
      <c r="L22" t="str">
        <f>IF(OR(ISBLANK('!'!L21),ISERROR('!'!L21)),"",'!'!L21)</f>
        <v/>
      </c>
      <c r="X22" s="273"/>
      <c r="AV22" s="177"/>
      <c r="AW22" s="177"/>
      <c r="AX22" s="177"/>
      <c r="AY22" s="177"/>
      <c r="AZ22" s="177"/>
      <c r="BA22" s="177"/>
      <c r="BB22" s="177"/>
      <c r="BC22" s="177"/>
      <c r="BD22" s="177"/>
    </row>
    <row r="23" spans="1:56" ht="13.5" thickBot="1" x14ac:dyDescent="0.25">
      <c r="B23" s="236">
        <v>3</v>
      </c>
      <c r="C23" s="136" t="s">
        <v>131</v>
      </c>
      <c r="D23" s="236"/>
      <c r="E23" s="39"/>
      <c r="F23" s="39"/>
      <c r="G23" s="39"/>
      <c r="H23" s="39"/>
      <c r="I23" s="235"/>
      <c r="J23" s="186"/>
      <c r="K23" s="39"/>
      <c r="L23" s="39"/>
      <c r="X23" s="273"/>
      <c r="AV23" s="177"/>
      <c r="AW23" s="177"/>
      <c r="AX23" s="177"/>
      <c r="AY23" s="177"/>
      <c r="AZ23" s="177"/>
      <c r="BA23" s="177"/>
      <c r="BB23" s="177"/>
      <c r="BC23" s="177"/>
      <c r="BD23" s="177"/>
    </row>
    <row r="24" spans="1:56" x14ac:dyDescent="0.2">
      <c r="C24" s="12"/>
      <c r="I24" s="75"/>
      <c r="J24" s="47"/>
      <c r="X24" s="273"/>
      <c r="AV24" s="177"/>
      <c r="AW24" s="177"/>
      <c r="AX24" s="177"/>
      <c r="AY24" s="177"/>
      <c r="AZ24" s="177"/>
      <c r="BA24" s="177"/>
      <c r="BB24" s="177"/>
      <c r="BC24" s="177"/>
      <c r="BD24" s="177"/>
    </row>
    <row r="25" spans="1:56" x14ac:dyDescent="0.2">
      <c r="C25" s="12"/>
      <c r="D25" s="238" t="s">
        <v>125</v>
      </c>
      <c r="E25" s="244" t="s">
        <v>134</v>
      </c>
      <c r="F25" s="245" t="s">
        <v>135</v>
      </c>
      <c r="G25" s="225"/>
      <c r="I25" s="248" t="str">
        <f>IF(OR(ISBLANK('!'!AD9),ISERROR('!'!AD9)),"",'!'!AD9)</f>
        <v>Analysed data</v>
      </c>
      <c r="J25" s="248" t="str">
        <f>IF(OR(ISBLANK('!'!AE9),ISERROR('!'!AE9)),"",'!'!AE9)</f>
        <v>C1</v>
      </c>
      <c r="K25" s="248" t="str">
        <f>IF(OR(ISBLANK('!'!AF9),ISERROR('!'!AF9)),"",'!'!AF9)</f>
        <v>C2</v>
      </c>
      <c r="L25" s="248" t="str">
        <f>IF(OR(ISBLANK('!'!AG9),ISERROR('!'!AG9)),"",'!'!AG9)</f>
        <v/>
      </c>
      <c r="X25" s="273"/>
      <c r="AV25" s="177"/>
      <c r="AW25" s="177"/>
      <c r="AX25" s="177"/>
      <c r="AY25" s="177"/>
      <c r="AZ25" s="177"/>
      <c r="BA25" s="177"/>
      <c r="BB25" s="177"/>
      <c r="BC25" s="177"/>
      <c r="BD25" s="177"/>
    </row>
    <row r="26" spans="1:56" x14ac:dyDescent="0.2">
      <c r="C26" s="12"/>
      <c r="D26" s="241">
        <v>1</v>
      </c>
      <c r="E26" s="317">
        <f>IF(OR(ISBLANK('!'!D23),ISERROR('!'!D23)),"",'!'!D23)</f>
        <v>0.50276141422017273</v>
      </c>
      <c r="F26" s="246">
        <f>'!'!E23</f>
        <v>0.46684988463301752</v>
      </c>
      <c r="G26" s="225"/>
      <c r="I26" s="249" t="str">
        <f>IF(OR(ISBLANK('!'!AD10),ISERROR('!'!AD10)),"",'!'!AD10)</f>
        <v>R1</v>
      </c>
      <c r="J26" s="248">
        <f>IF(OR(ISBLANK('!'!AE10),ISERROR('!'!AE10)),"",'!'!AE10)</f>
        <v>10</v>
      </c>
      <c r="K26" s="248">
        <f>IF(OR(ISBLANK('!'!AF10),ISERROR('!'!AF10)),"",'!'!AF10)</f>
        <v>3</v>
      </c>
      <c r="L26" s="250">
        <f>IF(OR(ISBLANK('!'!AG10),ISERROR('!'!AG10)),"",'!'!AG10)</f>
        <v>13</v>
      </c>
      <c r="X26" s="273"/>
      <c r="AV26" s="177"/>
      <c r="AW26" s="177"/>
      <c r="AX26" s="177"/>
      <c r="AY26" s="177"/>
      <c r="AZ26" s="177"/>
      <c r="BA26" s="177"/>
      <c r="BB26" s="177"/>
      <c r="BC26" s="177"/>
      <c r="BD26" s="177"/>
    </row>
    <row r="27" spans="1:56" x14ac:dyDescent="0.2">
      <c r="C27" s="12"/>
      <c r="D27" s="242">
        <v>2</v>
      </c>
      <c r="E27" s="318">
        <f>IF(OR(ISBLANK('!'!D24),ISERROR('!'!D24)),"",'!'!D24)</f>
        <v>0.53349364905389041</v>
      </c>
      <c r="F27" s="247">
        <f>'!'!E24</f>
        <v>0.56905989232414977</v>
      </c>
      <c r="G27" s="225"/>
      <c r="I27" s="249" t="str">
        <f>IF(OR(ISBLANK('!'!AD11),ISERROR('!'!AD11)),"",'!'!AD11)</f>
        <v>R2</v>
      </c>
      <c r="J27" s="248">
        <f>IF(OR(ISBLANK('!'!AE11),ISERROR('!'!AE11)),"",'!'!AE11)</f>
        <v>4</v>
      </c>
      <c r="K27" s="248">
        <f>IF(OR(ISBLANK('!'!AF11),ISERROR('!'!AF11)),"",'!'!AF11)</f>
        <v>12</v>
      </c>
      <c r="L27" s="250">
        <f>IF(OR(ISBLANK('!'!AG11),ISERROR('!'!AG11)),"",'!'!AG11)</f>
        <v>16</v>
      </c>
      <c r="X27" s="273"/>
      <c r="AV27" s="177"/>
      <c r="AW27" s="177"/>
      <c r="AX27" s="177"/>
      <c r="AY27" s="177"/>
      <c r="AZ27" s="177"/>
      <c r="BA27" s="177"/>
      <c r="BB27" s="177"/>
      <c r="BC27" s="177"/>
      <c r="BD27" s="177"/>
    </row>
    <row r="28" spans="1:56" x14ac:dyDescent="0.2">
      <c r="C28" s="12"/>
      <c r="I28" s="248" t="str">
        <f>IF(OR(ISBLANK('!'!AD12),ISERROR('!'!AD12)),"",'!'!AD12)</f>
        <v/>
      </c>
      <c r="J28" s="248">
        <f>IF(OR(ISBLANK('!'!AE12),ISERROR('!'!AE12)),"",'!'!AE12)</f>
        <v>14</v>
      </c>
      <c r="K28" s="248">
        <f>IF(OR(ISBLANK('!'!AF12),ISERROR('!'!AF12)),"",'!'!AF12)</f>
        <v>15</v>
      </c>
      <c r="L28" s="250">
        <f>IF(OR(ISBLANK('!'!AG12),ISERROR('!'!AG12)),"",'!'!AG12)</f>
        <v>29</v>
      </c>
      <c r="X28" s="273"/>
      <c r="AV28" s="177"/>
      <c r="AW28" s="177"/>
      <c r="AX28" s="177"/>
      <c r="AY28" s="177"/>
      <c r="AZ28" s="177"/>
      <c r="BA28" s="177"/>
      <c r="BB28" s="177"/>
      <c r="BC28" s="177"/>
      <c r="BD28" s="177"/>
    </row>
    <row r="29" spans="1:56" ht="13.5" thickBot="1" x14ac:dyDescent="0.25">
      <c r="A29" t="str">
        <f>IF(OR(ISBLANK('!'!A22),ISERROR('!'!A22)),"",'!'!A22)</f>
        <v/>
      </c>
      <c r="B29" s="236">
        <v>4</v>
      </c>
      <c r="C29" s="136" t="s">
        <v>130</v>
      </c>
      <c r="D29" s="39"/>
      <c r="E29" s="39" t="str">
        <f>IF(OR(ISBLANK('!'!E26),ISERROR('!'!E26)),"",'!'!E26)</f>
        <v/>
      </c>
      <c r="F29" s="39" t="str">
        <f>IF(OR(ISBLANK('!'!F26),ISERROR('!'!F26)),"",'!'!F26)</f>
        <v/>
      </c>
      <c r="G29" s="39" t="str">
        <f>IF(OR(ISBLANK('!'!G26),ISERROR('!'!G26)),"",'!'!G26)</f>
        <v/>
      </c>
      <c r="H29" s="39" t="str">
        <f>IF(OR(ISBLANK('!'!H26),ISERROR('!'!H26)),"",'!'!H26)</f>
        <v/>
      </c>
      <c r="I29" s="39" t="str">
        <f>IF(OR(ISBLANK('!'!I26),ISERROR('!'!I26)),"",'!'!I26)</f>
        <v/>
      </c>
      <c r="J29" s="39" t="str">
        <f>IF(OR(ISBLANK('!'!J26),ISERROR('!'!J26)),"",'!'!J26)</f>
        <v/>
      </c>
      <c r="K29" s="39" t="str">
        <f>IF(OR(ISBLANK('!'!K26),ISERROR('!'!K26)),"",'!'!K26)</f>
        <v/>
      </c>
      <c r="L29" s="39" t="str">
        <f>IF(OR(ISBLANK('!'!L22),ISERROR('!'!L22)),"",'!'!L22)</f>
        <v/>
      </c>
      <c r="X29" s="273"/>
    </row>
    <row r="30" spans="1:56" ht="17.25" customHeight="1" thickBot="1" x14ac:dyDescent="0.25">
      <c r="A30" t="str">
        <f>IF(OR(ISBLANK('!'!A27),ISERROR('!'!A27)),"",'!'!A27)</f>
        <v/>
      </c>
      <c r="B30" t="str">
        <f>IF(OR(ISBLANK('!'!B27),ISERROR('!'!B27)),"",'!'!B27)</f>
        <v/>
      </c>
      <c r="C30" s="15" t="str">
        <f>IF(OR(ISBLANK('!'!C27),ISERROR('!'!C27)),"",'!'!C27)</f>
        <v/>
      </c>
      <c r="D30" s="51" t="str">
        <f>IF(OR(ISBLANK('!'!D27),ISERROR('!'!D27)),"",'!'!D27)</f>
        <v>Index</v>
      </c>
      <c r="E30" s="51" t="str">
        <f>IF(OR(ISBLANK('!'!E27),ISERROR('!'!E27)),"",'!'!E27)</f>
        <v>Validity</v>
      </c>
      <c r="F30" s="51" t="str">
        <f>IF(OR(ISBLANK('!'!F27),ISERROR('!'!F27)),"",'!'!F27)</f>
        <v>Sampling</v>
      </c>
      <c r="G30" s="51" t="str">
        <f>IF(OR(ISBLANK('!'!G27),ISERROR('!'!G27)),"",'!'!G27)</f>
        <v>Class</v>
      </c>
      <c r="H30" s="13" t="str">
        <f>IF(OR(ISBLANK('!'!H27),ISERROR('!'!H27)),"",'!'!H27)</f>
        <v>Estimate</v>
      </c>
      <c r="I30" s="13" t="str">
        <f>IF(OR(ISBLANK('!'!I27),ISERROR('!'!I27)),"",'!'!I27)</f>
        <v>Variance</v>
      </c>
      <c r="J30" s="13" t="str">
        <f>IF(OR(ISBLANK('!'!J27),ISERROR('!'!J27)),"",'!'!J27)</f>
        <v>S.E.</v>
      </c>
      <c r="K30" t="str">
        <f>IF(OR(ISBLANK('!'!K27),ISERROR('!'!K27)),"",'!'!K27)</f>
        <v/>
      </c>
      <c r="L30" t="str">
        <f>IF(OR(ISBLANK('!'!L27),ISERROR('!'!L27)),"",'!'!L27)</f>
        <v/>
      </c>
      <c r="X30" s="273"/>
    </row>
    <row r="31" spans="1:56" ht="12.75" customHeight="1" x14ac:dyDescent="0.2">
      <c r="A31" t="str">
        <f>IF(OR(ISBLANK('!'!A29),ISERROR('!'!A29)),"",'!'!A29)</f>
        <v/>
      </c>
      <c r="B31" t="str">
        <f>IF(OR(ISBLANK('!'!B29),ISERROR('!'!B29)),"",'!'!B29)</f>
        <v/>
      </c>
      <c r="C31" t="str">
        <f>IF(OR(ISBLANK('!'!C29),ISERROR('!'!C29)),"",'!'!C29)</f>
        <v/>
      </c>
      <c r="D31" s="332" t="s">
        <v>126</v>
      </c>
      <c r="E31" s="335" t="str">
        <f>IF(OR(ISBLANK('!'!E29),ISERROR('!'!E29)),"",'!'!E29)</f>
        <v>R is a standard</v>
      </c>
      <c r="F31" s="338" t="str">
        <f>IF(OR(ISBLANK('!'!F29),ISERROR('!'!F29)),"",'!'!F29)</f>
        <v>I</v>
      </c>
      <c r="G31" s="54">
        <f>IF(OR(ISBLANK('!'!G29),ISERROR('!'!G29)),"",'!'!G29)</f>
        <v>1</v>
      </c>
      <c r="H31" s="308">
        <f>IF(OR(ISBLANK('!'!H29),ISERROR('!'!H29)),"",'!'!H29)</f>
        <v>0.50276141422017273</v>
      </c>
      <c r="I31" s="308">
        <f>IF(OR(ISBLANK('!'!I29),ISERROR('!'!I29)),"",'!'!I29)</f>
        <v>3.9777431111232379E-2</v>
      </c>
      <c r="J31" s="309">
        <f>IF(OR(ISBLANK('!'!J29),ISERROR('!'!J29)),"",'!'!J29)</f>
        <v>0.19944280160294675</v>
      </c>
      <c r="K31" s="325" t="str">
        <f>IF(OR(ISBLANK('!'!K29),ISERROR('!'!K29)),"",'!'!K29)</f>
        <v/>
      </c>
      <c r="X31" s="273"/>
    </row>
    <row r="32" spans="1:56" x14ac:dyDescent="0.2">
      <c r="A32" t="str">
        <f>IF(OR(ISBLANK('!'!A30),ISERROR('!'!A30)),"",'!'!A30)</f>
        <v/>
      </c>
      <c r="B32" t="str">
        <f>IF(OR(ISBLANK('!'!B30),ISERROR('!'!B30)),"",'!'!B30)</f>
        <v/>
      </c>
      <c r="C32" t="str">
        <f>IF(OR(ISBLANK('!'!C30),ISERROR('!'!C30)),"",'!'!C30)</f>
        <v/>
      </c>
      <c r="D32" s="333"/>
      <c r="E32" s="336" t="str">
        <f>IF(OR(ISBLANK('!'!E30),ISERROR('!'!E30)),"",'!'!E30)</f>
        <v/>
      </c>
      <c r="F32" s="339" t="str">
        <f>IF(OR(ISBLANK('!'!F30),ISERROR('!'!F30)),"",'!'!F30)</f>
        <v/>
      </c>
      <c r="G32" s="58">
        <f>IF(OR(ISBLANK('!'!G30),ISERROR('!'!G30)),"",'!'!G30)</f>
        <v>2</v>
      </c>
      <c r="H32" s="310">
        <f>IF(OR(ISBLANK('!'!H30),ISERROR('!'!H30)),"",'!'!H30)</f>
        <v>0.53349364905389041</v>
      </c>
      <c r="I32" s="310">
        <f>IF(OR(ISBLANK('!'!I30),ISERROR('!'!I30)),"",'!'!I30)</f>
        <v>2.8703422700598887E-2</v>
      </c>
      <c r="J32" s="311">
        <f>IF(OR(ISBLANK('!'!J30),ISERROR('!'!J30)),"",'!'!J30)</f>
        <v>0.16942084494122583</v>
      </c>
      <c r="K32" s="326" t="str">
        <f>IF(OR(ISBLANK('!'!K30),ISERROR('!'!K30)),"",'!'!K30)</f>
        <v/>
      </c>
      <c r="X32" s="273"/>
    </row>
    <row r="33" spans="1:24" x14ac:dyDescent="0.2">
      <c r="A33" t="str">
        <f>IF(OR(ISBLANK('!'!A31),ISERROR('!'!A31)),"",'!'!A31)</f>
        <v/>
      </c>
      <c r="B33" t="str">
        <f>IF(OR(ISBLANK('!'!B31),ISERROR('!'!B31)),"",'!'!B31)</f>
        <v/>
      </c>
      <c r="C33" t="str">
        <f>IF(OR(ISBLANK('!'!C31),ISERROR('!'!C31)),"",'!'!C31)</f>
        <v/>
      </c>
      <c r="D33" s="333"/>
      <c r="E33" s="336" t="str">
        <f>IF(OR(ISBLANK('!'!E31),ISERROR('!'!E31)),"",'!'!E31)</f>
        <v/>
      </c>
      <c r="F33" s="339" t="str">
        <f>IF(OR(ISBLANK('!'!F31),ISERROR('!'!F31)),"",'!'!F31)</f>
        <v>II</v>
      </c>
      <c r="G33" s="58">
        <f>IF(OR(ISBLANK('!'!G31),ISERROR('!'!G31)),"",'!'!G31)</f>
        <v>1</v>
      </c>
      <c r="H33" s="312">
        <f>IF(OR(ISBLANK('!'!H31),ISERROR('!'!H31)),"",'!'!H31)</f>
        <v>0.50276141422017273</v>
      </c>
      <c r="I33" s="310">
        <f>IF(OR(ISBLANK('!'!I31),ISERROR('!'!I31)),"",'!'!I31)</f>
        <v>3.7302465248692553E-2</v>
      </c>
      <c r="J33" s="311">
        <f>IF(OR(ISBLANK('!'!J31),ISERROR('!'!J31)),"",'!'!J31)</f>
        <v>0.1931384613397667</v>
      </c>
      <c r="K33" s="326" t="str">
        <f>IF(OR(ISBLANK('!'!K31),ISERROR('!'!K31)),"",'!'!K31)</f>
        <v/>
      </c>
      <c r="X33" s="273"/>
    </row>
    <row r="34" spans="1:24" ht="13.5" thickBot="1" x14ac:dyDescent="0.25">
      <c r="A34" t="str">
        <f>IF(OR(ISBLANK('!'!A32),ISERROR('!'!A32)),"",'!'!A32)</f>
        <v/>
      </c>
      <c r="B34" t="str">
        <f>IF(OR(ISBLANK('!'!B32),ISERROR('!'!B32)),"",'!'!B32)</f>
        <v/>
      </c>
      <c r="C34" t="str">
        <f>IF(OR(ISBLANK('!'!C32),ISERROR('!'!C32)),"",'!'!C32)</f>
        <v/>
      </c>
      <c r="D34" s="334"/>
      <c r="E34" s="337" t="str">
        <f>IF(OR(ISBLANK('!'!E32),ISERROR('!'!E32)),"",'!'!E32)</f>
        <v/>
      </c>
      <c r="F34" s="340" t="str">
        <f>IF(OR(ISBLANK('!'!F32),ISERROR('!'!F32)),"",'!'!F32)</f>
        <v/>
      </c>
      <c r="G34" s="62">
        <f>IF(OR(ISBLANK('!'!G32),ISERROR('!'!G32)),"",'!'!G32)</f>
        <v>2</v>
      </c>
      <c r="H34" s="313">
        <f>IF(OR(ISBLANK('!'!H32),ISERROR('!'!H32)),"",'!'!H32)</f>
        <v>0.53349364905389041</v>
      </c>
      <c r="I34" s="314">
        <f>IF(OR(ISBLANK('!'!I32),ISERROR('!'!I32)),"",'!'!I32)</f>
        <v>2.7069558517906579E-2</v>
      </c>
      <c r="J34" s="315">
        <f>IF(OR(ISBLANK('!'!J32),ISERROR('!'!J32)),"",'!'!J32)</f>
        <v>0.16452829093474039</v>
      </c>
      <c r="K34" s="326" t="str">
        <f>IF(OR(ISBLANK('!'!K32),ISERROR('!'!K32)),"",'!'!K32)</f>
        <v/>
      </c>
      <c r="X34" s="273"/>
    </row>
    <row r="35" spans="1:24" ht="3.75" customHeight="1" thickBot="1" x14ac:dyDescent="0.25">
      <c r="A35" t="str">
        <f>IF(OR(ISBLANK('!'!A33),ISERROR('!'!A33)),"",'!'!A33)</f>
        <v/>
      </c>
      <c r="B35" t="str">
        <f>IF(OR(ISBLANK('!'!B33),ISERROR('!'!B33)),"",'!'!B33)</f>
        <v/>
      </c>
      <c r="C35" t="str">
        <f>IF(OR(ISBLANK('!'!C33),ISERROR('!'!C33)),"",'!'!C33)</f>
        <v/>
      </c>
      <c r="D35" s="10"/>
      <c r="E35" s="66" t="str">
        <f>IF(OR(ISBLANK('!'!E33),ISERROR('!'!E33)),"",'!'!E33)</f>
        <v/>
      </c>
      <c r="F35" s="10" t="str">
        <f>IF(OR(ISBLANK('!'!F33),ISERROR('!'!F33)),"",'!'!F33)</f>
        <v/>
      </c>
      <c r="G35" s="67" t="str">
        <f>IF(OR(ISBLANK('!'!G33),ISERROR('!'!G33)),"",'!'!G33)</f>
        <v/>
      </c>
      <c r="H35" s="316" t="str">
        <f>IF(OR(ISBLANK('!'!H33),ISERROR('!'!H33)),"",'!'!H33)</f>
        <v/>
      </c>
      <c r="I35" s="316" t="str">
        <f>IF(OR(ISBLANK('!'!I33),ISERROR('!'!I33)),"",'!'!I33)</f>
        <v/>
      </c>
      <c r="J35" s="316" t="str">
        <f>IF(OR(ISBLANK('!'!J33),ISERROR('!'!J33)),"",'!'!J33)</f>
        <v/>
      </c>
      <c r="K35" s="326" t="str">
        <f>IF(OR(ISBLANK('!'!K33),ISERROR('!'!K33)),"",'!'!K33)</f>
        <v/>
      </c>
      <c r="X35" s="273"/>
    </row>
    <row r="36" spans="1:24" ht="12.75" customHeight="1" x14ac:dyDescent="0.2">
      <c r="A36" t="str">
        <f>IF(OR(ISBLANK('!'!A34),ISERROR('!'!A34)),"",'!'!A34)</f>
        <v/>
      </c>
      <c r="B36" t="str">
        <f>IF(OR(ISBLANK('!'!B34),ISERROR('!'!B34)),"",'!'!B34)</f>
        <v/>
      </c>
      <c r="C36" t="str">
        <f>IF(OR(ISBLANK('!'!C34),ISERROR('!'!C34)),"",'!'!C34)</f>
        <v/>
      </c>
      <c r="D36" s="344" t="s">
        <v>127</v>
      </c>
      <c r="E36" s="335" t="str">
        <f>IF(OR(ISBLANK('!'!E34),ISERROR('!'!E34)),"",'!'!E34)</f>
        <v>R is a standard</v>
      </c>
      <c r="F36" s="338" t="str">
        <f>IF(OR(ISBLANK('!'!F34),ISERROR('!'!F34)),"",'!'!F34)</f>
        <v>I</v>
      </c>
      <c r="G36" s="54">
        <f>IF(OR(ISBLANK('!'!G34),ISERROR('!'!G34)),"",'!'!G34)</f>
        <v>1</v>
      </c>
      <c r="H36" s="308">
        <f>IF(OR(ISBLANK('!'!H34),ISERROR('!'!H34)),"",'!'!H34)</f>
        <v>0.46684988463301752</v>
      </c>
      <c r="I36" s="308">
        <f>IF(OR(ISBLANK('!'!I34),ISERROR('!'!I34)),"",'!'!I34)</f>
        <v>3.4016405302980154E-2</v>
      </c>
      <c r="J36" s="309">
        <f>IF(OR(ISBLANK('!'!J34),ISERROR('!'!J34)),"",'!'!J34)</f>
        <v>0.18443536890461154</v>
      </c>
      <c r="K36" s="326" t="str">
        <f>IF(OR(ISBLANK('!'!K34),ISERROR('!'!K34)),"",'!'!K34)</f>
        <v/>
      </c>
      <c r="X36" s="273"/>
    </row>
    <row r="37" spans="1:24" ht="13.5" thickBot="1" x14ac:dyDescent="0.25">
      <c r="A37" t="str">
        <f>IF(OR(ISBLANK('!'!A35),ISERROR('!'!A35)),"",'!'!A35)</f>
        <v/>
      </c>
      <c r="B37" t="str">
        <f>IF(OR(ISBLANK('!'!B35),ISERROR('!'!B35)),"",'!'!B35)</f>
        <v/>
      </c>
      <c r="C37" t="str">
        <f>IF(OR(ISBLANK('!'!C35),ISERROR('!'!C35)),"",'!'!C35)</f>
        <v/>
      </c>
      <c r="D37" s="345"/>
      <c r="E37" s="337" t="str">
        <f>IF(OR(ISBLANK('!'!E35),ISERROR('!'!E35)),"",'!'!E35)</f>
        <v/>
      </c>
      <c r="F37" s="340" t="str">
        <f>IF(OR(ISBLANK('!'!F35),ISERROR('!'!F35)),"",'!'!F35)</f>
        <v/>
      </c>
      <c r="G37" s="62">
        <f>IF(OR(ISBLANK('!'!G35),ISERROR('!'!G35)),"",'!'!G35)</f>
        <v>2</v>
      </c>
      <c r="H37" s="314">
        <f>IF(OR(ISBLANK('!'!H35),ISERROR('!'!H35)),"",'!'!H35)</f>
        <v>0.56905989232414977</v>
      </c>
      <c r="I37" s="314">
        <f>IF(OR(ISBLANK('!'!I35),ISERROR('!'!I35)),"",'!'!I35)</f>
        <v>2.8919980345886616E-2</v>
      </c>
      <c r="J37" s="315">
        <f>IF(OR(ISBLANK('!'!J35),ISERROR('!'!J35)),"",'!'!J35)</f>
        <v>0.17005875556961664</v>
      </c>
      <c r="K37" s="326" t="str">
        <f>IF(OR(ISBLANK('!'!K35),ISERROR('!'!K35)),"",'!'!K35)</f>
        <v/>
      </c>
      <c r="X37" s="273"/>
    </row>
    <row r="38" spans="1:24" ht="4.5" customHeight="1" thickBot="1" x14ac:dyDescent="0.25">
      <c r="A38" t="str">
        <f>IF(OR(ISBLANK('!'!A36),ISERROR('!'!A36)),"",'!'!A36)</f>
        <v/>
      </c>
      <c r="B38" t="str">
        <f>IF(OR(ISBLANK('!'!B36),ISERROR('!'!B36)),"",'!'!B36)</f>
        <v/>
      </c>
      <c r="C38" t="str">
        <f>IF(OR(ISBLANK('!'!C36),ISERROR('!'!C36)),"",'!'!C36)</f>
        <v/>
      </c>
      <c r="D38" s="10"/>
      <c r="E38" s="66" t="str">
        <f>IF(OR(ISBLANK('!'!E36),ISERROR('!'!E36)),"",'!'!E36)</f>
        <v/>
      </c>
      <c r="F38" s="10" t="str">
        <f>IF(OR(ISBLANK('!'!F36),ISERROR('!'!F36)),"",'!'!F36)</f>
        <v/>
      </c>
      <c r="G38" s="69" t="str">
        <f>IF(OR(ISBLANK('!'!G36),ISERROR('!'!G36)),"",'!'!G36)</f>
        <v/>
      </c>
      <c r="H38" s="316" t="str">
        <f>IF(OR(ISBLANK('!'!H36),ISERROR('!'!H36)),"",'!'!H36)</f>
        <v/>
      </c>
      <c r="I38" s="316" t="str">
        <f>IF(OR(ISBLANK('!'!I36),ISERROR('!'!I36)),"",'!'!I36)</f>
        <v/>
      </c>
      <c r="J38" s="316" t="str">
        <f>IF(OR(ISBLANK('!'!J36),ISERROR('!'!J36)),"",'!'!J36)</f>
        <v/>
      </c>
      <c r="K38" s="326" t="str">
        <f>IF(OR(ISBLANK('!'!K36),ISERROR('!'!K36)),"",'!'!K36)</f>
        <v/>
      </c>
      <c r="X38" s="273"/>
    </row>
    <row r="39" spans="1:24" ht="12.75" customHeight="1" x14ac:dyDescent="0.2">
      <c r="A39" t="str">
        <f>IF(OR(ISBLANK('!'!A37),ISERROR('!'!A37)),"",'!'!A37)</f>
        <v/>
      </c>
      <c r="B39" t="str">
        <f>IF(OR(ISBLANK('!'!B37),ISERROR('!'!B37)),"",'!'!B37)</f>
        <v/>
      </c>
      <c r="C39" t="str">
        <f>IF(OR(ISBLANK('!'!C37),ISERROR('!'!C37)),"",'!'!C37)</f>
        <v/>
      </c>
      <c r="D39" s="344" t="s">
        <v>128</v>
      </c>
      <c r="E39" s="335" t="str">
        <f>IF(OR(ISBLANK('!'!E37),ISERROR('!'!E37)),"",'!'!E37)</f>
        <v>Always</v>
      </c>
      <c r="F39" s="338" t="str">
        <f>IF(OR(ISBLANK('!'!F37),ISERROR('!'!F37)),"",'!'!F37)</f>
        <v>I</v>
      </c>
      <c r="G39" s="54">
        <f>IF(OR(ISBLANK('!'!G37),ISERROR('!'!G37)),"",'!'!G37)</f>
        <v>1</v>
      </c>
      <c r="H39" s="308">
        <f>IF(OR(ISBLANK('!'!H37),ISERROR('!'!H37)),"",'!'!H37)</f>
        <v>0.2253758063745602</v>
      </c>
      <c r="I39" s="308">
        <f>IF(OR(ISBLANK('!'!I37),ISERROR('!'!I37)),"",'!'!I37)</f>
        <v>1.2219936541176559E-2</v>
      </c>
      <c r="J39" s="309">
        <f>IF(OR(ISBLANK('!'!J37),ISERROR('!'!J37)),"",'!'!J37)</f>
        <v>0.1105438218136887</v>
      </c>
      <c r="K39" s="326" t="str">
        <f>IF(OR(ISBLANK('!'!K37),ISERROR('!'!K37)),"",'!'!K37)</f>
        <v/>
      </c>
      <c r="X39" s="273"/>
    </row>
    <row r="40" spans="1:24" x14ac:dyDescent="0.2">
      <c r="A40" t="str">
        <f>IF(OR(ISBLANK('!'!A38),ISERROR('!'!A38)),"",'!'!A38)</f>
        <v/>
      </c>
      <c r="B40" t="str">
        <f>IF(OR(ISBLANK('!'!B38),ISERROR('!'!B38)),"",'!'!B38)</f>
        <v/>
      </c>
      <c r="C40" t="str">
        <f>IF(OR(ISBLANK('!'!C38),ISERROR('!'!C38)),"",'!'!C38)</f>
        <v/>
      </c>
      <c r="D40" s="348"/>
      <c r="E40" s="336" t="str">
        <f>IF(OR(ISBLANK('!'!E38),ISERROR('!'!E38)),"",'!'!E38)</f>
        <v/>
      </c>
      <c r="F40" s="339" t="str">
        <f>IF(OR(ISBLANK('!'!F38),ISERROR('!'!F38)),"",'!'!F38)</f>
        <v/>
      </c>
      <c r="G40" s="58">
        <f>IF(OR(ISBLANK('!'!G38),ISERROR('!'!G38)),"",'!'!G38)</f>
        <v>2</v>
      </c>
      <c r="H40" s="310">
        <f>IF(OR(ISBLANK('!'!H38),ISERROR('!'!H38)),"",'!'!H38)</f>
        <v>0.29434132361593951</v>
      </c>
      <c r="I40" s="310">
        <f>IF(OR(ISBLANK('!'!I38),ISERROR('!'!I38)),"",'!'!I38)</f>
        <v>1.3362107456775846E-2</v>
      </c>
      <c r="J40" s="311">
        <f>IF(OR(ISBLANK('!'!J38),ISERROR('!'!J38)),"",'!'!J38)</f>
        <v>0.11559458229854826</v>
      </c>
      <c r="K40" s="326" t="str">
        <f>IF(OR(ISBLANK('!'!K38),ISERROR('!'!K38)),"",'!'!K38)</f>
        <v/>
      </c>
      <c r="X40" s="273"/>
    </row>
    <row r="41" spans="1:24" x14ac:dyDescent="0.2">
      <c r="A41" t="str">
        <f>IF(OR(ISBLANK('!'!A39),ISERROR('!'!A39)),"",'!'!A39)</f>
        <v/>
      </c>
      <c r="B41" t="str">
        <f>IF(OR(ISBLANK('!'!B39),ISERROR('!'!B39)),"",'!'!B39)</f>
        <v/>
      </c>
      <c r="C41" t="str">
        <f>IF(OR(ISBLANK('!'!C39),ISERROR('!'!C39)),"",'!'!C39)</f>
        <v/>
      </c>
      <c r="D41" s="348"/>
      <c r="E41" s="336" t="str">
        <f>IF(OR(ISBLANK('!'!E39),ISERROR('!'!E39)),"",'!'!E39)</f>
        <v/>
      </c>
      <c r="F41" s="339" t="str">
        <f>IF(OR(ISBLANK('!'!F39),ISERROR('!'!F39)),"",'!'!F39)</f>
        <v>II</v>
      </c>
      <c r="G41" s="58">
        <f>IF(OR(ISBLANK('!'!G39),ISERROR('!'!G39)),"",'!'!G39)</f>
        <v>1</v>
      </c>
      <c r="H41" s="310">
        <f>IF(OR(ISBLANK('!'!H39),ISERROR('!'!H39)),"",'!'!H39)</f>
        <v>0.2253758063745602</v>
      </c>
      <c r="I41" s="310">
        <f>IF(OR(ISBLANK('!'!I39),ISERROR('!'!I39)),"",'!'!I39)</f>
        <v>7.4959769643627126E-3</v>
      </c>
      <c r="J41" s="311">
        <f>IF(OR(ISBLANK('!'!J39),ISERROR('!'!J39)),"",'!'!J39)</f>
        <v>8.6579310255757477E-2</v>
      </c>
      <c r="K41" s="326" t="str">
        <f>IF(OR(ISBLANK('!'!K39),ISERROR('!'!K39)),"",'!'!K39)</f>
        <v/>
      </c>
      <c r="X41" s="273"/>
    </row>
    <row r="42" spans="1:24" ht="13.5" thickBot="1" x14ac:dyDescent="0.25">
      <c r="A42" t="str">
        <f>IF(OR(ISBLANK('!'!A40),ISERROR('!'!A40)),"",'!'!A40)</f>
        <v/>
      </c>
      <c r="B42" t="str">
        <f>IF(OR(ISBLANK('!'!B40),ISERROR('!'!B40)),"",'!'!B40)</f>
        <v/>
      </c>
      <c r="C42" t="str">
        <f>IF(OR(ISBLANK('!'!C40),ISERROR('!'!C40)),"",'!'!C40)</f>
        <v/>
      </c>
      <c r="D42" s="349"/>
      <c r="E42" s="337" t="str">
        <f>IF(OR(ISBLANK('!'!E40),ISERROR('!'!E40)),"",'!'!E40)</f>
        <v/>
      </c>
      <c r="F42" s="340" t="str">
        <f>IF(OR(ISBLANK('!'!F40),ISERROR('!'!F40)),"",'!'!F40)</f>
        <v/>
      </c>
      <c r="G42" s="62">
        <f>IF(OR(ISBLANK('!'!G40),ISERROR('!'!G40)),"",'!'!G40)</f>
        <v>2</v>
      </c>
      <c r="H42" s="314">
        <f>IF(OR(ISBLANK('!'!H40),ISERROR('!'!H40)),"",'!'!H40)</f>
        <v>0.29434132361593951</v>
      </c>
      <c r="I42" s="314">
        <f>IF(OR(ISBLANK('!'!I40),ISERROR('!'!I40)),"",'!'!I40)</f>
        <v>8.2399607379121092E-3</v>
      </c>
      <c r="J42" s="315">
        <f>IF(OR(ISBLANK('!'!J40),ISERROR('!'!J40)),"",'!'!J40)</f>
        <v>9.0774229481236077E-2</v>
      </c>
      <c r="K42" s="326" t="str">
        <f>IF(OR(ISBLANK('!'!K40),ISERROR('!'!K40)),"",'!'!K40)</f>
        <v/>
      </c>
      <c r="X42" s="273"/>
    </row>
    <row r="43" spans="1:24" ht="4.5" customHeight="1" thickBot="1" x14ac:dyDescent="0.25">
      <c r="A43" t="str">
        <f>IF(OR(ISBLANK('!'!A41),ISERROR('!'!A41)),"",'!'!A41)</f>
        <v/>
      </c>
      <c r="B43" t="str">
        <f>IF(OR(ISBLANK('!'!B41),ISERROR('!'!B41)),"",'!'!B41)</f>
        <v/>
      </c>
      <c r="C43" t="str">
        <f>IF(OR(ISBLANK('!'!C41),ISERROR('!'!C41)),"",'!'!C41)</f>
        <v/>
      </c>
      <c r="D43" s="10"/>
      <c r="E43" s="10" t="str">
        <f>IF(OR(ISBLANK('!'!E41),ISERROR('!'!E41)),"",'!'!E41)</f>
        <v/>
      </c>
      <c r="F43" s="10" t="str">
        <f>IF(OR(ISBLANK('!'!F41),ISERROR('!'!F41)),"",'!'!F41)</f>
        <v/>
      </c>
      <c r="G43" s="69" t="str">
        <f>IF(OR(ISBLANK('!'!G41),ISERROR('!'!G41)),"",'!'!G41)</f>
        <v/>
      </c>
      <c r="H43" s="316" t="str">
        <f>IF(OR(ISBLANK('!'!H41),ISERROR('!'!H41)),"",'!'!H41)</f>
        <v/>
      </c>
      <c r="I43" s="316" t="str">
        <f>IF(OR(ISBLANK('!'!I41),ISERROR('!'!I41)),"",'!'!I41)</f>
        <v/>
      </c>
      <c r="J43" s="316" t="str">
        <f>IF(OR(ISBLANK('!'!J41),ISERROR('!'!J41)),"",'!'!J41)</f>
        <v/>
      </c>
      <c r="K43" s="326" t="str">
        <f>IF(OR(ISBLANK('!'!K41),ISERROR('!'!K41)),"",'!'!K41)</f>
        <v/>
      </c>
      <c r="X43" s="273"/>
    </row>
    <row r="44" spans="1:24" ht="12.75" customHeight="1" x14ac:dyDescent="0.2">
      <c r="A44" t="str">
        <f>IF(OR(ISBLANK('!'!A42),ISERROR('!'!A42)),"",'!'!A42)</f>
        <v/>
      </c>
      <c r="B44" t="str">
        <f>IF(OR(ISBLANK('!'!B42),ISERROR('!'!B42)),"",'!'!B42)</f>
        <v/>
      </c>
      <c r="C44" t="str">
        <f>IF(OR(ISBLANK('!'!C42),ISERROR('!'!C42)),"",'!'!C42)</f>
        <v/>
      </c>
      <c r="D44" s="344" t="s">
        <v>129</v>
      </c>
      <c r="E44" s="346" t="str">
        <f>IF(OR(ISBLANK('!'!E42),ISERROR('!'!E42)),"",'!'!E42)</f>
        <v>R is not a standard</v>
      </c>
      <c r="F44" s="338" t="str">
        <f>IF(OR(ISBLANK('!'!F42),ISERROR('!'!F42)),"",'!'!F42)</f>
        <v>I</v>
      </c>
      <c r="G44" s="54">
        <f>IF(OR(ISBLANK('!'!G42),ISERROR('!'!G42)),"",'!'!G42)</f>
        <v>1</v>
      </c>
      <c r="H44" s="308">
        <f>IF(OR(ISBLANK('!'!H42),ISERROR('!'!H42)),"",'!'!H42)</f>
        <v>0.48414062110090711</v>
      </c>
      <c r="I44" s="308">
        <f>IF(OR(ISBLANK('!'!I42),ISERROR('!'!I42)),"",'!'!I42)</f>
        <v>3.5656557159072573E-2</v>
      </c>
      <c r="J44" s="309">
        <f>IF(OR(ISBLANK('!'!J42),ISERROR('!'!J42)),"",'!'!J42)</f>
        <v>0.18882943933368168</v>
      </c>
      <c r="K44" s="326" t="str">
        <f>IF(OR(ISBLANK('!'!K42),ISERROR('!'!K42)),"",'!'!K42)</f>
        <v/>
      </c>
      <c r="X44" s="273"/>
    </row>
    <row r="45" spans="1:24" ht="13.5" thickBot="1" x14ac:dyDescent="0.25">
      <c r="A45" t="str">
        <f>IF(OR(ISBLANK('!'!A43),ISERROR('!'!A43)),"",'!'!A43)</f>
        <v/>
      </c>
      <c r="B45" t="str">
        <f>IF(OR(ISBLANK('!'!B43),ISERROR('!'!B43)),"",'!'!B43)</f>
        <v/>
      </c>
      <c r="C45" t="str">
        <f>IF(OR(ISBLANK('!'!C43),ISERROR('!'!C43)),"",'!'!C43)</f>
        <v/>
      </c>
      <c r="D45" s="345"/>
      <c r="E45" s="347" t="str">
        <f>IF(OR(ISBLANK('!'!E43),ISERROR('!'!E43)),"",'!'!E43)</f>
        <v/>
      </c>
      <c r="F45" s="340" t="str">
        <f>IF(OR(ISBLANK('!'!F43),ISERROR('!'!F43)),"",'!'!F43)</f>
        <v/>
      </c>
      <c r="G45" s="62">
        <f>IF(OR(ISBLANK('!'!G43),ISERROR('!'!G43)),"",'!'!G43)</f>
        <v>2</v>
      </c>
      <c r="H45" s="314">
        <f>IF(OR(ISBLANK('!'!H43),ISERROR('!'!H43)),"",'!'!H43)</f>
        <v>0.55070312160401591</v>
      </c>
      <c r="I45" s="314">
        <f>IF(OR(ISBLANK('!'!I43),ISERROR('!'!I43)),"",'!'!I43)</f>
        <v>2.7516475198747534E-2</v>
      </c>
      <c r="J45" s="315">
        <f>IF(OR(ISBLANK('!'!J43),ISERROR('!'!J43)),"",'!'!J43)</f>
        <v>0.16588090667327429</v>
      </c>
      <c r="K45" s="326" t="str">
        <f>IF(OR(ISBLANK('!'!K43),ISERROR('!'!K43)),"",'!'!K43)</f>
        <v/>
      </c>
      <c r="X45" s="273"/>
    </row>
    <row r="46" spans="1:24" ht="3.75" customHeight="1" thickBot="1" x14ac:dyDescent="0.25">
      <c r="A46" t="str">
        <f>IF(OR(ISBLANK('!'!A44),ISERROR('!'!A44)),"",'!'!A44)</f>
        <v/>
      </c>
      <c r="B46" t="str">
        <f>IF(OR(ISBLANK('!'!B44),ISERROR('!'!B44)),"",'!'!B44)</f>
        <v/>
      </c>
      <c r="C46" t="str">
        <f>IF(OR(ISBLANK('!'!C44),ISERROR('!'!C44)),"",'!'!C44)</f>
        <v/>
      </c>
      <c r="D46" s="10"/>
      <c r="E46" s="10" t="str">
        <f>IF(OR(ISBLANK('!'!E44),ISERROR('!'!E44)),"",'!'!E44)</f>
        <v/>
      </c>
      <c r="F46" s="10" t="str">
        <f>IF(OR(ISBLANK('!'!F44),ISERROR('!'!F44)),"",'!'!F44)</f>
        <v/>
      </c>
      <c r="G46" s="69" t="str">
        <f>IF(OR(ISBLANK('!'!G44),ISERROR('!'!G44)),"",'!'!G44)</f>
        <v/>
      </c>
      <c r="H46" s="316" t="str">
        <f>IF(OR(ISBLANK('!'!H44),ISERROR('!'!H44)),"",'!'!H44)</f>
        <v/>
      </c>
      <c r="I46" s="316" t="str">
        <f>IF(OR(ISBLANK('!'!I44),ISERROR('!'!I44)),"",'!'!I44)</f>
        <v/>
      </c>
      <c r="J46" s="316" t="str">
        <f>IF(OR(ISBLANK('!'!J44),ISERROR('!'!J44)),"",'!'!J44)</f>
        <v/>
      </c>
      <c r="K46" s="326" t="str">
        <f>IF(OR(ISBLANK('!'!K44),ISERROR('!'!K44)),"",'!'!K44)</f>
        <v/>
      </c>
      <c r="X46" s="273"/>
    </row>
    <row r="47" spans="1:24" ht="12.75" customHeight="1" x14ac:dyDescent="0.2">
      <c r="A47" t="str">
        <f>IF(OR(ISBLANK('!'!A45),ISERROR('!'!A45)),"",'!'!A45)</f>
        <v/>
      </c>
      <c r="B47" t="str">
        <f>IF(OR(ISBLANK('!'!B45),ISERROR('!'!B45)),"",'!'!B45)</f>
        <v/>
      </c>
      <c r="C47" t="str">
        <f>IF(OR(ISBLANK('!'!C45),ISERROR('!'!C45)),"",'!'!C45)</f>
        <v/>
      </c>
      <c r="D47" s="344" t="s">
        <v>76</v>
      </c>
      <c r="E47" s="335" t="str">
        <f>IF(OR(ISBLANK('!'!E45),ISERROR('!'!E45)),"",'!'!E45)</f>
        <v>Always</v>
      </c>
      <c r="F47" s="71" t="str">
        <f>IF(OR(ISBLANK('!'!F45),ISERROR('!'!F45)),"",'!'!F45)</f>
        <v>I</v>
      </c>
      <c r="G47" s="54" t="str">
        <f>IF(OR(ISBLANK('!'!G45),ISERROR('!'!G45)),"",'!'!G45)</f>
        <v>-</v>
      </c>
      <c r="H47" s="308">
        <f>IF(OR(ISBLANK('!'!H45),ISERROR('!'!H45)),"",'!'!H45)</f>
        <v>0.51971712999049979</v>
      </c>
      <c r="I47" s="308">
        <f>IF(OR(ISBLANK('!'!I45),ISERROR('!'!I45)),"",'!'!I45)</f>
        <v>2.5168762234290959E-2</v>
      </c>
      <c r="J47" s="309">
        <f>IF(OR(ISBLANK('!'!J45),ISERROR('!'!J45)),"",'!'!J45)</f>
        <v>0.15864665844035594</v>
      </c>
      <c r="K47" s="326" t="str">
        <f>IF(OR(ISBLANK('!'!K45),ISERROR('!'!K45)),"",'!'!K45)</f>
        <v/>
      </c>
      <c r="X47" s="273"/>
    </row>
    <row r="48" spans="1:24" ht="13.5" customHeight="1" thickBot="1" x14ac:dyDescent="0.25">
      <c r="A48" t="str">
        <f>IF(OR(ISBLANK('!'!A46),ISERROR('!'!A46)),"",'!'!A46)</f>
        <v/>
      </c>
      <c r="B48" t="str">
        <f>IF(OR(ISBLANK('!'!B46),ISERROR('!'!B46)),"",'!'!B46)</f>
        <v/>
      </c>
      <c r="C48" t="str">
        <f>IF(OR(ISBLANK('!'!C46),ISERROR('!'!C46)),"",'!'!C46)</f>
        <v/>
      </c>
      <c r="D48" s="345"/>
      <c r="E48" s="337" t="str">
        <f>IF(OR(ISBLANK('!'!E46),ISERROR('!'!E46)),"",'!'!E46)</f>
        <v/>
      </c>
      <c r="F48" s="70" t="str">
        <f>IF(OR(ISBLANK('!'!F46),ISERROR('!'!F46)),"",'!'!F46)</f>
        <v>II</v>
      </c>
      <c r="G48" s="62" t="str">
        <f>IF(OR(ISBLANK('!'!G46),ISERROR('!'!G46)),"",'!'!G46)</f>
        <v>-</v>
      </c>
      <c r="H48" s="314">
        <f>IF(OR(ISBLANK('!'!H46),ISERROR('!'!H46)),"",'!'!H46)</f>
        <v>0.51971712999049979</v>
      </c>
      <c r="I48" s="314">
        <f>IF(OR(ISBLANK('!'!I46),ISERROR('!'!I46)),"",'!'!I46)</f>
        <v>2.5160707381134295E-2</v>
      </c>
      <c r="J48" s="315">
        <f>IF(OR(ISBLANK('!'!J46),ISERROR('!'!J46)),"",'!'!J46)</f>
        <v>0.15862127026705558</v>
      </c>
      <c r="K48" s="326" t="str">
        <f>IF(OR(ISBLANK('!'!K46),ISERROR('!'!K46)),"",'!'!K46)</f>
        <v/>
      </c>
      <c r="X48" s="273"/>
    </row>
    <row r="49" spans="1:36" ht="12" customHeight="1" x14ac:dyDescent="0.2">
      <c r="A49" t="str">
        <f>IF(OR(ISBLANK('!'!A47),ISERROR('!'!A47)),"",'!'!A47)</f>
        <v/>
      </c>
      <c r="B49" t="str">
        <f>IF(OR(ISBLANK('!'!B47),ISERROR('!'!B47)),"",'!'!B47)</f>
        <v/>
      </c>
      <c r="C49" t="str">
        <f>IF(OR(ISBLANK('!'!C47),ISERROR('!'!C47)),"",'!'!C47)</f>
        <v/>
      </c>
      <c r="D49" t="str">
        <f>IF(OR(ISBLANK('!'!D47),ISERROR('!'!D47)),"",'!'!D47)</f>
        <v/>
      </c>
      <c r="E49" t="str">
        <f>IF(OR(ISBLANK('!'!E47),ISERROR('!'!E47)),"",'!'!E47)</f>
        <v/>
      </c>
      <c r="F49" t="str">
        <f>IF(OR(ISBLANK('!'!F47),ISERROR('!'!F47)),"",'!'!F47)</f>
        <v/>
      </c>
      <c r="G49" t="str">
        <f>IF(OR(ISBLANK('!'!G47),ISERROR('!'!G47)),"",'!'!G47)</f>
        <v/>
      </c>
      <c r="H49" t="str">
        <f>IF(OR(ISBLANK('!'!H47),ISERROR('!'!H47)),"",'!'!H47)</f>
        <v/>
      </c>
      <c r="I49" t="str">
        <f>IF(OR(ISBLANK('!'!I47),ISERROR('!'!I47)),"",'!'!I47)</f>
        <v/>
      </c>
      <c r="J49" t="str">
        <f>IF(OR(ISBLANK('!'!J47),ISERROR('!'!J47)),"",'!'!J47)</f>
        <v/>
      </c>
      <c r="K49" t="str">
        <f>IF(OR(ISBLANK('!'!K47),ISERROR('!'!K47)),"",'!'!K47)</f>
        <v/>
      </c>
      <c r="L49" t="str">
        <f>IF(OR(ISBLANK('!'!L47),ISERROR('!'!L47)),"",'!'!L47)</f>
        <v/>
      </c>
      <c r="X49" s="273"/>
    </row>
    <row r="50" spans="1:36" x14ac:dyDescent="0.2">
      <c r="A50" t="str">
        <f>IF(OR(ISBLANK('!'!A48),ISERROR('!'!A48)),"",'!'!A48)</f>
        <v/>
      </c>
      <c r="B50" t="str">
        <f>IF(OR(ISBLANK('!'!B48),ISERROR('!'!B48)),"",'!'!B48)</f>
        <v/>
      </c>
      <c r="C50" s="195" t="s">
        <v>99</v>
      </c>
      <c r="D50" s="10"/>
      <c r="E50" s="342" t="s">
        <v>144</v>
      </c>
      <c r="F50" s="342"/>
      <c r="G50" s="342"/>
      <c r="H50" s="342"/>
      <c r="I50" s="10" t="str">
        <f>IF(OR(ISBLANK('!'!I48),ISERROR('!'!I48)),"",'!'!I48)</f>
        <v/>
      </c>
      <c r="J50" s="10" t="str">
        <f>IF(OR(ISBLANK('!'!J48),ISERROR('!'!J48)),"",'!'!J48)</f>
        <v/>
      </c>
      <c r="K50" s="182"/>
      <c r="L50" s="92"/>
      <c r="M50" s="177"/>
      <c r="X50" s="273"/>
    </row>
    <row r="51" spans="1:36" ht="13.5" thickBot="1" x14ac:dyDescent="0.25">
      <c r="A51" t="str">
        <f>IF(OR(ISBLANK('!'!A49),ISERROR('!'!A49)),"",'!'!A49)</f>
        <v/>
      </c>
      <c r="B51" t="str">
        <f>IF(OR(ISBLANK('!'!B49),ISERROR('!'!B49)),"",'!'!B49)</f>
        <v/>
      </c>
      <c r="C51" s="39" t="str">
        <f>IF(OR(ISBLANK('!'!C49),ISERROR('!'!C49)),"",'!'!C49)</f>
        <v/>
      </c>
      <c r="D51" s="39" t="str">
        <f>IF(OR(ISBLANK('!'!D49),ISERROR('!'!D49)),"",'!'!D49)</f>
        <v/>
      </c>
      <c r="E51" s="39" t="str">
        <f>IF(OR(ISBLANK('!'!E49),ISERROR('!'!E49)),"",'!'!E49)</f>
        <v/>
      </c>
      <c r="F51" s="39" t="str">
        <f>IF(OR(ISBLANK('!'!F49),ISERROR('!'!F49)),"",'!'!F49)</f>
        <v/>
      </c>
      <c r="G51" s="39" t="str">
        <f>IF(OR(ISBLANK('!'!G49),ISERROR('!'!G49)),"",'!'!G49)</f>
        <v/>
      </c>
      <c r="H51" s="39" t="str">
        <f>IF(OR(ISBLANK('!'!H49),ISERROR('!'!H49)),"",'!'!H49)</f>
        <v/>
      </c>
      <c r="I51" s="39" t="str">
        <f>IF(OR(ISBLANK('!'!I49),ISERROR('!'!I49)),"",'!'!I49)</f>
        <v/>
      </c>
      <c r="J51" s="39" t="str">
        <f>IF(OR(ISBLANK('!'!J49),ISERROR('!'!J49)),"",'!'!J49)</f>
        <v/>
      </c>
      <c r="K51" s="183"/>
      <c r="L51" s="243"/>
      <c r="M51" s="177"/>
      <c r="N51" s="307"/>
      <c r="P51" s="307"/>
      <c r="R51" s="307"/>
      <c r="T51" s="307"/>
      <c r="V51" s="307"/>
      <c r="X51" s="307"/>
      <c r="Y51" s="307"/>
      <c r="AA51" s="307"/>
      <c r="AC51" s="307"/>
      <c r="AE51" s="307"/>
      <c r="AF51" s="307"/>
      <c r="AH51" s="307"/>
      <c r="AJ51" s="307"/>
    </row>
    <row r="52" spans="1:36" x14ac:dyDescent="0.2">
      <c r="A52" t="str">
        <f>IF(OR(ISBLANK('!'!A50),ISERROR('!'!A50)),"",'!'!A50)</f>
        <v/>
      </c>
      <c r="B52" t="str">
        <f>IF(OR(ISBLANK('!'!B50),ISERROR('!'!B50)),"",'!'!B50)</f>
        <v/>
      </c>
      <c r="C52" t="str">
        <f>IF(OR(ISBLANK('!'!C50),ISERROR('!'!C50)),"",'!'!C50)</f>
        <v/>
      </c>
      <c r="D52" t="str">
        <f>IF(OR(ISBLANK('!'!D50),ISERROR('!'!D50)),"",'!'!D50)</f>
        <v/>
      </c>
      <c r="E52" t="str">
        <f>IF(OR(ISBLANK('!'!E50),ISERROR('!'!E50)),"",'!'!E50)</f>
        <v/>
      </c>
      <c r="F52" t="str">
        <f>IF(OR(ISBLANK('!'!F50),ISERROR('!'!F50)),"",'!'!F50)</f>
        <v/>
      </c>
      <c r="G52" t="str">
        <f>IF(OR(ISBLANK('!'!G50),ISERROR('!'!G50)),"",'!'!G50)</f>
        <v/>
      </c>
      <c r="H52" s="72" t="str">
        <f>IF(OR(ISBLANK('!'!H50),ISERROR('!'!H50)),"",'!'!H50)</f>
        <v/>
      </c>
      <c r="I52" t="str">
        <f>IF(OR(ISBLANK('!'!I50),ISERROR('!'!I50)),"",'!'!I50)</f>
        <v/>
      </c>
      <c r="J52" t="str">
        <f>IF(OR(ISBLANK('!'!J50),ISERROR('!'!J50)),"",'!'!J50)</f>
        <v/>
      </c>
      <c r="K52" s="93"/>
      <c r="L52" s="92"/>
      <c r="M52" s="177"/>
      <c r="N52" s="307"/>
      <c r="P52" s="307"/>
      <c r="R52" s="307"/>
      <c r="T52" s="307"/>
      <c r="V52" s="307"/>
      <c r="X52" s="307"/>
      <c r="Y52" s="307"/>
      <c r="AA52" s="307"/>
      <c r="AC52" s="307"/>
      <c r="AE52" s="307"/>
      <c r="AF52" s="307"/>
      <c r="AH52" s="307"/>
      <c r="AJ52" s="307"/>
    </row>
    <row r="53" spans="1:36" x14ac:dyDescent="0.2">
      <c r="A53" t="str">
        <f>IF(OR(ISBLANK('!'!A51),ISERROR('!'!A51)),"",'!'!A51)</f>
        <v/>
      </c>
      <c r="B53" t="str">
        <f>IF(OR(ISBLANK('!'!B51),ISERROR('!'!B51)),"",'!'!B51)</f>
        <v/>
      </c>
      <c r="C53" t="str">
        <f>IF(OR(ISBLANK('!'!C51),ISERROR('!'!C51)),"",'!'!C51)</f>
        <v/>
      </c>
      <c r="D53" t="str">
        <f>IF(OR(ISBLANK('!'!D51),ISERROR('!'!D51)),"",'!'!D51)</f>
        <v/>
      </c>
      <c r="E53" t="str">
        <f>IF(OR(ISBLANK('!'!E51),ISERROR('!'!E51)),"",'!'!E51)</f>
        <v/>
      </c>
      <c r="F53" t="str">
        <f>IF(OR(ISBLANK('!'!F51),ISERROR('!'!F51)),"",'!'!F51)</f>
        <v/>
      </c>
      <c r="G53" t="str">
        <f>IF(OR(ISBLANK('!'!G51),ISERROR('!'!G51)),"",'!'!G51)</f>
        <v/>
      </c>
      <c r="H53" t="str">
        <f>IF(OR(ISBLANK('!'!H51),ISERROR('!'!H51)),"",'!'!H51)</f>
        <v/>
      </c>
      <c r="I53" t="str">
        <f>IF(OR(ISBLANK('!'!I51),ISERROR('!'!I51)),"",'!'!I51)</f>
        <v/>
      </c>
      <c r="J53" t="str">
        <f>IF(OR(ISBLANK('!'!J51),ISERROR('!'!J51)),"",'!'!J51)</f>
        <v/>
      </c>
      <c r="K53" s="92"/>
      <c r="L53" s="92"/>
      <c r="M53" s="177"/>
      <c r="N53" s="307"/>
      <c r="P53" s="307"/>
      <c r="R53" s="307"/>
      <c r="T53" s="307"/>
      <c r="V53" s="307"/>
      <c r="X53" s="307"/>
      <c r="Y53" s="307"/>
      <c r="AA53" s="307"/>
      <c r="AC53" s="307"/>
      <c r="AE53" s="307"/>
      <c r="AF53" s="307"/>
      <c r="AH53" s="307"/>
      <c r="AJ53" s="307"/>
    </row>
    <row r="54" spans="1:36" x14ac:dyDescent="0.2">
      <c r="A54" t="str">
        <f>IF(OR(ISBLANK('!'!A52),ISERROR('!'!A52)),"",'!'!A52)</f>
        <v/>
      </c>
      <c r="B54" t="str">
        <f>IF(OR(ISBLANK('!'!B52),ISERROR('!'!B52)),"",'!'!B52)</f>
        <v/>
      </c>
      <c r="C54" t="str">
        <f>IF(OR(ISBLANK('!'!C52),ISERROR('!'!C52)),"",'!'!C52)</f>
        <v/>
      </c>
      <c r="D54" t="str">
        <f>IF(OR(ISBLANK('!'!D52),ISERROR('!'!D52)),"",'!'!D52)</f>
        <v/>
      </c>
      <c r="E54" t="str">
        <f>IF(OR(ISBLANK('!'!E52),ISERROR('!'!E52)),"",'!'!E52)</f>
        <v/>
      </c>
      <c r="F54" t="str">
        <f>IF(OR(ISBLANK('!'!F52),ISERROR('!'!F52)),"",'!'!F52)</f>
        <v/>
      </c>
      <c r="G54" t="str">
        <f>IF(OR(ISBLANK('!'!G52),ISERROR('!'!G52)),"",'!'!G52)</f>
        <v/>
      </c>
      <c r="H54" t="str">
        <f>IF(OR(ISBLANK('!'!H52),ISERROR('!'!H52)),"",'!'!H52)</f>
        <v/>
      </c>
      <c r="I54" t="str">
        <f>IF(OR(ISBLANK('!'!I52),ISERROR('!'!I52)),"",'!'!I52)</f>
        <v/>
      </c>
      <c r="J54" t="str">
        <f>IF(OR(ISBLANK('!'!J52),ISERROR('!'!J52)),"",'!'!J52)</f>
        <v/>
      </c>
      <c r="K54" s="92"/>
      <c r="L54" s="93"/>
      <c r="M54" s="177"/>
      <c r="X54" s="273"/>
    </row>
    <row r="55" spans="1:36" x14ac:dyDescent="0.2">
      <c r="A55" t="str">
        <f>IF(OR(ISBLANK('!'!A53),ISERROR('!'!A53)),"",'!'!A53)</f>
        <v/>
      </c>
      <c r="B55" t="str">
        <f>IF(OR(ISBLANK('!'!B53),ISERROR('!'!B53)),"",'!'!B53)</f>
        <v/>
      </c>
      <c r="C55" t="str">
        <f>IF(OR(ISBLANK('!'!C53),ISERROR('!'!C53)),"",'!'!C53)</f>
        <v/>
      </c>
      <c r="D55" t="str">
        <f>IF(OR(ISBLANK('!'!D53),ISERROR('!'!D53)),"",'!'!D53)</f>
        <v/>
      </c>
      <c r="E55" t="str">
        <f>IF(OR(ISBLANK('!'!E53),ISERROR('!'!E53)),"",'!'!E53)</f>
        <v/>
      </c>
      <c r="F55" t="str">
        <f>IF(OR(ISBLANK('!'!F53),ISERROR('!'!F53)),"",'!'!F53)</f>
        <v/>
      </c>
      <c r="G55" t="str">
        <f>IF(OR(ISBLANK('!'!G53),ISERROR('!'!G53)),"",'!'!G53)</f>
        <v/>
      </c>
      <c r="H55" t="str">
        <f>IF(OR(ISBLANK('!'!H53),ISERROR('!'!H53)),"",'!'!H53)</f>
        <v/>
      </c>
      <c r="I55" t="str">
        <f>IF(OR(ISBLANK('!'!I53),ISERROR('!'!I53)),"",'!'!I53)</f>
        <v/>
      </c>
      <c r="J55" t="str">
        <f>IF(OR(ISBLANK('!'!J53),ISERROR('!'!J53)),"",'!'!J53)</f>
        <v/>
      </c>
      <c r="K55" t="str">
        <f>IF(OR(ISBLANK('!'!K53),ISERROR('!'!K53)),"",'!'!K53)</f>
        <v/>
      </c>
      <c r="L55" t="str">
        <f>IF(OR(ISBLANK('!'!L53),ISERROR('!'!L53)),"",'!'!L53)</f>
        <v/>
      </c>
      <c r="X55" s="273"/>
    </row>
    <row r="56" spans="1:36" x14ac:dyDescent="0.2">
      <c r="A56" t="str">
        <f>IF(OR(ISBLANK('!'!A54),ISERROR('!'!A54)),"",'!'!A54)</f>
        <v/>
      </c>
      <c r="B56" t="str">
        <f>IF(OR(ISBLANK('!'!B54),ISERROR('!'!B54)),"",'!'!B54)</f>
        <v/>
      </c>
      <c r="C56" t="str">
        <f>IF(OR(ISBLANK('!'!C54),ISERROR('!'!C54)),"",'!'!C54)</f>
        <v/>
      </c>
      <c r="D56" t="str">
        <f>IF(OR(ISBLANK('!'!D54),ISERROR('!'!D54)),"",'!'!D54)</f>
        <v/>
      </c>
      <c r="E56" t="str">
        <f>IF(OR(ISBLANK('!'!E54),ISERROR('!'!E54)),"",'!'!E54)</f>
        <v/>
      </c>
      <c r="F56" t="str">
        <f>IF(OR(ISBLANK('!'!F54),ISERROR('!'!F54)),"",'!'!F54)</f>
        <v/>
      </c>
      <c r="G56" t="str">
        <f>IF(OR(ISBLANK('!'!G54),ISERROR('!'!G54)),"",'!'!G54)</f>
        <v/>
      </c>
      <c r="H56" t="str">
        <f>IF(OR(ISBLANK('!'!H54),ISERROR('!'!H54)),"",'!'!H54)</f>
        <v/>
      </c>
      <c r="I56" t="str">
        <f>IF(OR(ISBLANK('!'!I54),ISERROR('!'!I54)),"",'!'!I54)</f>
        <v/>
      </c>
      <c r="J56" t="str">
        <f>IF(OR(ISBLANK('!'!J54),ISERROR('!'!J54)),"",'!'!J54)</f>
        <v/>
      </c>
      <c r="K56" t="str">
        <f>IF(OR(ISBLANK('!'!K54),ISERROR('!'!K54)),"",'!'!K54)</f>
        <v/>
      </c>
      <c r="L56" t="str">
        <f>IF(OR(ISBLANK('!'!L54),ISERROR('!'!L54)),"",'!'!L54)</f>
        <v/>
      </c>
      <c r="X56" s="273"/>
    </row>
    <row r="57" spans="1:36" x14ac:dyDescent="0.2">
      <c r="X57" s="273"/>
    </row>
    <row r="58" spans="1:36" x14ac:dyDescent="0.2">
      <c r="X58" s="273"/>
    </row>
    <row r="59" spans="1:36" x14ac:dyDescent="0.2">
      <c r="X59" s="273"/>
    </row>
    <row r="60" spans="1:36" x14ac:dyDescent="0.2">
      <c r="X60" s="273"/>
    </row>
    <row r="61" spans="1:36" x14ac:dyDescent="0.2">
      <c r="X61" s="273"/>
    </row>
    <row r="62" spans="1:36" x14ac:dyDescent="0.2">
      <c r="X62" s="273"/>
    </row>
    <row r="63" spans="1:36" x14ac:dyDescent="0.2">
      <c r="X63" s="273"/>
    </row>
    <row r="64" spans="1:36" x14ac:dyDescent="0.2">
      <c r="X64" s="273"/>
    </row>
    <row r="65" spans="24:24" x14ac:dyDescent="0.2">
      <c r="X65" s="273"/>
    </row>
    <row r="66" spans="24:24" x14ac:dyDescent="0.2">
      <c r="X66" s="273"/>
    </row>
    <row r="67" spans="24:24" x14ac:dyDescent="0.2">
      <c r="X67" s="273"/>
    </row>
    <row r="68" spans="24:24" x14ac:dyDescent="0.2">
      <c r="X68" s="273"/>
    </row>
    <row r="69" spans="24:24" x14ac:dyDescent="0.2">
      <c r="X69" s="273"/>
    </row>
    <row r="70" spans="24:24" x14ac:dyDescent="0.2">
      <c r="X70" s="273"/>
    </row>
    <row r="71" spans="24:24" x14ac:dyDescent="0.2">
      <c r="X71" s="273"/>
    </row>
    <row r="72" spans="24:24" x14ac:dyDescent="0.2">
      <c r="X72" s="273"/>
    </row>
    <row r="73" spans="24:24" x14ac:dyDescent="0.2">
      <c r="X73" s="273"/>
    </row>
    <row r="74" spans="24:24" x14ac:dyDescent="0.2">
      <c r="X74" s="273"/>
    </row>
    <row r="75" spans="24:24" x14ac:dyDescent="0.2">
      <c r="X75" s="273"/>
    </row>
    <row r="76" spans="24:24" x14ac:dyDescent="0.2">
      <c r="X76" s="273"/>
    </row>
    <row r="77" spans="24:24" x14ac:dyDescent="0.2">
      <c r="X77" s="273"/>
    </row>
    <row r="78" spans="24:24" x14ac:dyDescent="0.2">
      <c r="X78" s="273"/>
    </row>
    <row r="79" spans="24:24" x14ac:dyDescent="0.2">
      <c r="X79" s="273"/>
    </row>
    <row r="80" spans="24:24" x14ac:dyDescent="0.2">
      <c r="X80" s="273"/>
    </row>
    <row r="81" spans="24:24" x14ac:dyDescent="0.2">
      <c r="X81" s="273"/>
    </row>
    <row r="82" spans="24:24" x14ac:dyDescent="0.2">
      <c r="X82" s="273"/>
    </row>
    <row r="83" spans="24:24" x14ac:dyDescent="0.2">
      <c r="X83" s="273"/>
    </row>
  </sheetData>
  <sheetProtection algorithmName="SHA-512" hashValue="ywTANjbS+y2Kqzjnj41Qy6e4Jmgd3GBrVEE/98Fmt/RnNuKesC+5mCy1GFxPbr0OuP2ISMetHxpdRNt9SxCcAQ==" saltValue="2wJhe7zoBHKWnWxGK+s4CA==" spinCount="100000" sheet="1" formatCells="0" formatColumns="0"/>
  <mergeCells count="21">
    <mergeCell ref="E50:H50"/>
    <mergeCell ref="N8:O8"/>
    <mergeCell ref="D44:D45"/>
    <mergeCell ref="E44:E45"/>
    <mergeCell ref="F44:F45"/>
    <mergeCell ref="D47:D48"/>
    <mergeCell ref="E47:E48"/>
    <mergeCell ref="F39:F40"/>
    <mergeCell ref="F41:F42"/>
    <mergeCell ref="D36:D37"/>
    <mergeCell ref="E36:E37"/>
    <mergeCell ref="F36:F37"/>
    <mergeCell ref="D39:D42"/>
    <mergeCell ref="E39:E42"/>
    <mergeCell ref="C4:K5"/>
    <mergeCell ref="BF8:BF10"/>
    <mergeCell ref="D31:D34"/>
    <mergeCell ref="E31:E34"/>
    <mergeCell ref="F31:F32"/>
    <mergeCell ref="F33:F34"/>
    <mergeCell ref="D16:I16"/>
  </mergeCells>
  <phoneticPr fontId="3" type="noConversion"/>
  <conditionalFormatting sqref="F19 J19">
    <cfRule type="expression" dxfId="9" priority="3" stopIfTrue="1">
      <formula>AND(E19&lt;&gt;1,E19&lt;&gt;0)</formula>
    </cfRule>
  </conditionalFormatting>
  <conditionalFormatting sqref="F18">
    <cfRule type="expression" dxfId="8" priority="4" stopIfTrue="1">
      <formula>AND(E18&lt;&gt;1,E18&lt;&gt;2)</formula>
    </cfRule>
  </conditionalFormatting>
  <conditionalFormatting sqref="F20">
    <cfRule type="expression" dxfId="7" priority="5" stopIfTrue="1">
      <formula>OR(E20=1,AND(E20=0,G14&lt;&gt;1),AND(E20=0.5,G14=1))</formula>
    </cfRule>
  </conditionalFormatting>
  <conditionalFormatting sqref="J21:J24 G25:G27">
    <cfRule type="expression" dxfId="6" priority="6" stopIfTrue="1">
      <formula>AND(#REF!&lt;&gt;1,#REF!&lt;&gt;0)</formula>
    </cfRule>
  </conditionalFormatting>
  <hyperlinks>
    <hyperlink ref="E50" r:id="rId1" xr:uid="{00000000-0004-0000-0100-000000000000}"/>
  </hyperlinks>
  <pageMargins left="0.75" right="0.75" top="1" bottom="1" header="0" footer="0"/>
  <pageSetup paperSize="9" orientation="portrait" r:id="rId2"/>
  <headerFooter alignWithMargins="0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E7AB2B-B8EA-4F80-A96D-12536A7E0D5D}">
            <xm:f>'!'!$AE29=1</xm:f>
            <x14:dxf>
              <font>
                <b/>
                <i val="0"/>
              </font>
              <fill>
                <patternFill>
                  <bgColor rgb="FFFFFFCC"/>
                </patternFill>
              </fill>
            </x14:dxf>
          </x14:cfRule>
          <xm:sqref>H31:J48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85ED5D4-8693-4767-9FB6-F1609479478F}">
          <x14:formula1>
            <xm:f>'!'!$Z$8:$Z$9</xm:f>
          </x14:formula1>
          <xm:sqref>E18</xm:sqref>
        </x14:dataValidation>
        <x14:dataValidation type="list" allowBlank="1" showInputMessage="1" showErrorMessage="1" xr:uid="{901A43E9-27F5-4973-B089-F61F81D9078D}">
          <x14:formula1>
            <xm:f>'!'!$Z$12:$Z$13</xm:f>
          </x14:formula1>
          <xm:sqref>E19</xm:sqref>
        </x14:dataValidation>
        <x14:dataValidation type="list" allowBlank="1" showInputMessage="1" showErrorMessage="1" xr:uid="{EBE8F513-7DA0-45BE-8045-2D79F45F8D0A}">
          <x14:formula1>
            <xm:f>'!'!$Z$16:$Z$18</xm:f>
          </x14:formula1>
          <xm:sqref>E20</xm:sqref>
        </x14:dataValidation>
        <x14:dataValidation type="list" allowBlank="1" showInputMessage="1" showErrorMessage="1" xr:uid="{E1746A20-B0E6-4DFF-B2BF-CAC418AB9EC9}">
          <x14:formula1>
            <xm:f>'!'!$Z$21:$Z$22</xm:f>
          </x14:formula1>
          <xm:sqref>I19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9">
    <pageSetUpPr fitToPage="1"/>
  </sheetPr>
  <dimension ref="B1:BL51"/>
  <sheetViews>
    <sheetView showGridLines="0" workbookViewId="0">
      <selection activeCell="D8" sqref="D8"/>
    </sheetView>
  </sheetViews>
  <sheetFormatPr baseColWidth="10" defaultRowHeight="12.75" x14ac:dyDescent="0.2"/>
  <cols>
    <col min="1" max="1" width="5.85546875" customWidth="1"/>
    <col min="2" max="2" width="4.5703125" customWidth="1"/>
    <col min="3" max="3" width="9.85546875" customWidth="1"/>
    <col min="4" max="4" width="15.7109375" customWidth="1"/>
    <col min="5" max="5" width="11.140625" customWidth="1"/>
    <col min="7" max="7" width="6" customWidth="1"/>
    <col min="8" max="10" width="12.85546875" customWidth="1"/>
    <col min="11" max="11" width="12.5703125" bestFit="1" customWidth="1"/>
    <col min="14" max="14" width="13" bestFit="1" customWidth="1"/>
    <col min="20" max="20" width="4.5703125" style="10" customWidth="1"/>
    <col min="29" max="29" width="11.85546875" style="2" customWidth="1"/>
    <col min="30" max="30" width="6.5703125" customWidth="1"/>
    <col min="34" max="34" width="8.28515625" customWidth="1"/>
    <col min="35" max="35" width="2" customWidth="1"/>
    <col min="36" max="36" width="4" customWidth="1"/>
    <col min="37" max="37" width="12.7109375" customWidth="1"/>
    <col min="38" max="38" width="4" customWidth="1"/>
    <col min="39" max="39" width="14.28515625" customWidth="1"/>
    <col min="40" max="41" width="6" customWidth="1"/>
    <col min="42" max="42" width="8.42578125" customWidth="1"/>
    <col min="43" max="43" width="6.5703125" customWidth="1"/>
    <col min="44" max="44" width="12" customWidth="1"/>
    <col min="45" max="45" width="11" customWidth="1"/>
    <col min="46" max="48" width="5.5703125" customWidth="1"/>
    <col min="49" max="50" width="8.5703125" customWidth="1"/>
    <col min="51" max="52" width="7.5703125" customWidth="1"/>
    <col min="53" max="53" width="12.5703125" customWidth="1"/>
    <col min="63" max="63" width="0.28515625" customWidth="1"/>
    <col min="64" max="64" width="1.28515625" style="2" customWidth="1"/>
  </cols>
  <sheetData>
    <row r="1" spans="2:64" s="125" customFormat="1" ht="15.75" x14ac:dyDescent="0.25">
      <c r="B1" s="126"/>
      <c r="K1" s="135" t="s">
        <v>52</v>
      </c>
      <c r="L1" s="127" t="s">
        <v>47</v>
      </c>
      <c r="N1" s="128" t="s">
        <v>50</v>
      </c>
      <c r="T1" s="254"/>
      <c r="BL1" s="129"/>
    </row>
    <row r="2" spans="2:64" s="125" customFormat="1" ht="15.75" x14ac:dyDescent="0.25">
      <c r="B2" s="126"/>
      <c r="C2" s="126"/>
      <c r="D2" s="126"/>
      <c r="E2" s="126"/>
      <c r="F2" s="126"/>
      <c r="G2" s="126"/>
      <c r="H2" s="126"/>
      <c r="I2" s="126"/>
      <c r="J2" s="126"/>
      <c r="L2" s="127" t="s">
        <v>48</v>
      </c>
      <c r="N2" s="128" t="s">
        <v>50</v>
      </c>
      <c r="T2" s="254"/>
      <c r="BL2" s="129"/>
    </row>
    <row r="3" spans="2:64" s="125" customFormat="1" ht="15.75" x14ac:dyDescent="0.25">
      <c r="B3" s="191" t="s">
        <v>124</v>
      </c>
      <c r="C3" s="126"/>
      <c r="D3" s="126"/>
      <c r="E3" s="126"/>
      <c r="F3" s="126"/>
      <c r="G3" s="126"/>
      <c r="H3" s="126"/>
      <c r="I3" s="126"/>
      <c r="J3" s="126"/>
      <c r="L3" s="127" t="s">
        <v>49</v>
      </c>
      <c r="M3" s="127"/>
      <c r="T3" s="254"/>
      <c r="BL3" s="129"/>
    </row>
    <row r="4" spans="2:64" s="125" customFormat="1" ht="15.75" x14ac:dyDescent="0.25">
      <c r="C4" s="126"/>
      <c r="D4" s="126"/>
      <c r="E4" s="126"/>
      <c r="F4" s="126"/>
      <c r="G4" s="126"/>
      <c r="H4" s="126"/>
      <c r="I4" s="126"/>
      <c r="J4" s="126"/>
      <c r="K4" s="130"/>
      <c r="L4" s="127"/>
      <c r="M4" s="127"/>
      <c r="T4" s="254"/>
      <c r="BL4" s="129"/>
    </row>
    <row r="5" spans="2:64" s="131" customFormat="1" ht="12.75" customHeight="1" x14ac:dyDescent="0.2">
      <c r="C5" s="133" t="s">
        <v>0</v>
      </c>
      <c r="D5" s="134">
        <v>40946</v>
      </c>
      <c r="E5" s="133"/>
      <c r="T5" s="255"/>
      <c r="AC5" s="125"/>
      <c r="BL5" s="129"/>
    </row>
    <row r="6" spans="2:64" ht="13.5" thickBot="1" x14ac:dyDescent="0.25">
      <c r="U6" t="s">
        <v>138</v>
      </c>
      <c r="AC6" s="4" t="s">
        <v>1</v>
      </c>
      <c r="BL6" s="3"/>
    </row>
    <row r="7" spans="2:64" ht="13.5" thickBot="1" x14ac:dyDescent="0.25">
      <c r="B7" s="42">
        <v>1</v>
      </c>
      <c r="C7" s="136" t="s">
        <v>69</v>
      </c>
      <c r="D7" s="186" t="s">
        <v>151</v>
      </c>
      <c r="E7" s="39"/>
      <c r="F7" s="39"/>
      <c r="G7" s="39"/>
      <c r="H7" s="39"/>
      <c r="I7" s="39"/>
      <c r="J7" s="39"/>
      <c r="K7" s="39"/>
      <c r="M7" s="147">
        <f t="shared" ref="M7:N9" si="0">I9</f>
        <v>10</v>
      </c>
      <c r="N7" s="148">
        <f t="shared" si="0"/>
        <v>3</v>
      </c>
      <c r="O7" s="149">
        <f>L9</f>
        <v>13</v>
      </c>
      <c r="Q7" s="147">
        <f t="shared" ref="Q7:S9" si="1">E10</f>
        <v>10</v>
      </c>
      <c r="R7" s="148">
        <f t="shared" si="1"/>
        <v>3</v>
      </c>
      <c r="S7" s="149">
        <f t="shared" si="1"/>
        <v>13</v>
      </c>
      <c r="T7" s="147"/>
      <c r="U7" s="147">
        <f>Q7+0.5</f>
        <v>10.5</v>
      </c>
      <c r="V7" s="147">
        <f>R7+0.5</f>
        <v>3.5</v>
      </c>
      <c r="W7" s="149">
        <f>SUM(U7:V7)</f>
        <v>14</v>
      </c>
      <c r="X7" s="149"/>
      <c r="Z7" s="188" t="s">
        <v>73</v>
      </c>
      <c r="AS7" s="6"/>
      <c r="AT7" s="7"/>
      <c r="AU7" s="7"/>
      <c r="AV7" s="8"/>
      <c r="AW7" s="9"/>
      <c r="AX7" s="10"/>
      <c r="BA7" s="11" t="s">
        <v>2</v>
      </c>
      <c r="BB7" s="7"/>
      <c r="BC7" s="7"/>
      <c r="BD7" s="7"/>
      <c r="BE7" s="7"/>
      <c r="BF7" s="7"/>
      <c r="BG7" s="7"/>
      <c r="BH7" s="8"/>
      <c r="BK7" s="350" t="s">
        <v>3</v>
      </c>
    </row>
    <row r="8" spans="2:64" ht="13.5" thickBot="1" x14ac:dyDescent="0.25">
      <c r="C8" s="5"/>
      <c r="I8" s="14" t="s">
        <v>80</v>
      </c>
      <c r="M8" s="150">
        <f t="shared" si="0"/>
        <v>4</v>
      </c>
      <c r="N8" s="151">
        <f t="shared" si="0"/>
        <v>12</v>
      </c>
      <c r="O8" s="152">
        <f>L10</f>
        <v>16</v>
      </c>
      <c r="Q8" s="150">
        <f t="shared" si="1"/>
        <v>4</v>
      </c>
      <c r="R8" s="151">
        <f t="shared" si="1"/>
        <v>12</v>
      </c>
      <c r="S8" s="152">
        <f t="shared" si="1"/>
        <v>16</v>
      </c>
      <c r="T8" s="147"/>
      <c r="U8" s="147">
        <f>Q8+0.5</f>
        <v>4.5</v>
      </c>
      <c r="V8" s="147">
        <f>R8+0.5</f>
        <v>12.5</v>
      </c>
      <c r="W8" s="149">
        <f t="shared" ref="W8:W9" si="2">SUM(U8:V8)</f>
        <v>17</v>
      </c>
      <c r="X8" s="147"/>
      <c r="Z8" s="187" t="s">
        <v>102</v>
      </c>
      <c r="AA8">
        <v>1</v>
      </c>
      <c r="AS8" s="73"/>
      <c r="AT8" s="10"/>
      <c r="AU8" s="10"/>
      <c r="AV8" s="35"/>
      <c r="AW8" s="74"/>
      <c r="AX8" s="10"/>
      <c r="BA8" s="11"/>
      <c r="BB8" s="7"/>
      <c r="BC8" s="7"/>
      <c r="BD8" s="7"/>
      <c r="BE8" s="7"/>
      <c r="BF8" s="7"/>
      <c r="BG8" s="7"/>
      <c r="BH8" s="8"/>
      <c r="BK8" s="350"/>
    </row>
    <row r="9" spans="2:64" s="13" customFormat="1" ht="13.5" thickBot="1" x14ac:dyDescent="0.25">
      <c r="C9" s="12"/>
      <c r="D9"/>
      <c r="E9" s="13" t="s">
        <v>4</v>
      </c>
      <c r="F9" s="13" t="s">
        <v>5</v>
      </c>
      <c r="G9"/>
      <c r="H9"/>
      <c r="I9" s="10">
        <f t="shared" ref="I9:J11" si="3">AE10</f>
        <v>10</v>
      </c>
      <c r="J9" s="27">
        <f t="shared" si="3"/>
        <v>3</v>
      </c>
      <c r="L9" s="12">
        <f>AG10</f>
        <v>13</v>
      </c>
      <c r="M9" s="153">
        <f t="shared" si="0"/>
        <v>14</v>
      </c>
      <c r="N9" s="154">
        <f t="shared" si="0"/>
        <v>15</v>
      </c>
      <c r="O9" s="153">
        <f>L11</f>
        <v>29</v>
      </c>
      <c r="Q9" s="153">
        <f t="shared" si="1"/>
        <v>14</v>
      </c>
      <c r="R9" s="154">
        <f t="shared" si="1"/>
        <v>15</v>
      </c>
      <c r="S9" s="153">
        <f t="shared" si="1"/>
        <v>29</v>
      </c>
      <c r="T9" s="147"/>
      <c r="U9" s="153">
        <f>SUM(U7:U8)</f>
        <v>15</v>
      </c>
      <c r="V9" s="153">
        <f t="shared" ref="V9" si="4">SUM(V7:V8)</f>
        <v>16</v>
      </c>
      <c r="W9" s="149">
        <f t="shared" si="2"/>
        <v>31</v>
      </c>
      <c r="X9" s="147"/>
      <c r="Y9"/>
      <c r="Z9" s="187" t="s">
        <v>103</v>
      </c>
      <c r="AA9">
        <v>2</v>
      </c>
      <c r="AB9"/>
      <c r="AC9" s="2"/>
      <c r="AD9" s="237" t="s">
        <v>136</v>
      </c>
      <c r="AE9" s="15" t="str">
        <f>E9</f>
        <v>C1</v>
      </c>
      <c r="AF9" s="15" t="str">
        <f>F9</f>
        <v>C2</v>
      </c>
      <c r="AG9" s="15"/>
      <c r="AH9" s="15"/>
      <c r="AI9" s="13" t="s">
        <v>6</v>
      </c>
      <c r="AJ9" s="13" t="s">
        <v>7</v>
      </c>
      <c r="AK9" s="13" t="s">
        <v>8</v>
      </c>
      <c r="AL9" s="13" t="s">
        <v>9</v>
      </c>
      <c r="AM9" s="13" t="s">
        <v>10</v>
      </c>
      <c r="AN9" s="13" t="s">
        <v>11</v>
      </c>
      <c r="AO9" s="13" t="s">
        <v>12</v>
      </c>
      <c r="AP9" s="13" t="s">
        <v>13</v>
      </c>
      <c r="AQ9" s="16" t="s">
        <v>14</v>
      </c>
      <c r="AR9" s="16" t="s">
        <v>15</v>
      </c>
      <c r="AS9" s="17" t="s">
        <v>16</v>
      </c>
      <c r="AT9" s="18" t="s">
        <v>17</v>
      </c>
      <c r="AU9" s="18" t="s">
        <v>18</v>
      </c>
      <c r="AV9" s="19" t="s">
        <v>19</v>
      </c>
      <c r="AW9" s="20" t="s">
        <v>20</v>
      </c>
      <c r="AX9" s="18" t="s">
        <v>21</v>
      </c>
      <c r="AY9" s="13" t="s">
        <v>22</v>
      </c>
      <c r="AZ9" s="13" t="s">
        <v>23</v>
      </c>
      <c r="BA9" s="21" t="s">
        <v>24</v>
      </c>
      <c r="BB9" s="22" t="s">
        <v>25</v>
      </c>
      <c r="BC9" s="22" t="s">
        <v>26</v>
      </c>
      <c r="BD9" s="22" t="s">
        <v>27</v>
      </c>
      <c r="BE9" s="22" t="s">
        <v>28</v>
      </c>
      <c r="BF9" s="22" t="s">
        <v>29</v>
      </c>
      <c r="BG9" s="22" t="s">
        <v>30</v>
      </c>
      <c r="BH9" s="23" t="s">
        <v>31</v>
      </c>
      <c r="BI9" s="13" t="s">
        <v>32</v>
      </c>
      <c r="BJ9" s="16" t="s">
        <v>33</v>
      </c>
      <c r="BK9" s="350"/>
      <c r="BL9" s="24"/>
    </row>
    <row r="10" spans="2:64" x14ac:dyDescent="0.2">
      <c r="C10" s="12"/>
      <c r="D10" s="13" t="s">
        <v>34</v>
      </c>
      <c r="E10" s="123">
        <f>'Agreement in tables 2x2'!E11</f>
        <v>10</v>
      </c>
      <c r="F10" s="123">
        <f>'Agreement in tables 2x2'!F11</f>
        <v>3</v>
      </c>
      <c r="G10" s="26">
        <f>F10+E10</f>
        <v>13</v>
      </c>
      <c r="I10" s="36">
        <f t="shared" si="3"/>
        <v>4</v>
      </c>
      <c r="J10" s="37">
        <f t="shared" si="3"/>
        <v>12</v>
      </c>
      <c r="L10" s="12">
        <f>AG11</f>
        <v>16</v>
      </c>
      <c r="M10" s="155">
        <f>M7/O9</f>
        <v>0.34482758620689657</v>
      </c>
      <c r="N10" s="156">
        <f>N7/O9</f>
        <v>0.10344827586206896</v>
      </c>
      <c r="O10" s="157">
        <f>O7/O9</f>
        <v>0.44827586206896552</v>
      </c>
      <c r="Q10" s="155">
        <f>Q7/S9</f>
        <v>0.34482758620689657</v>
      </c>
      <c r="R10" s="156">
        <f>R7/S9</f>
        <v>0.10344827586206896</v>
      </c>
      <c r="S10" s="157">
        <f>S7/S9</f>
        <v>0.44827586206896552</v>
      </c>
      <c r="T10" s="155"/>
      <c r="U10" s="155">
        <f>U7/W9</f>
        <v>0.33870967741935482</v>
      </c>
      <c r="V10" s="156">
        <f>V7/W9</f>
        <v>0.11290322580645161</v>
      </c>
      <c r="W10" s="157">
        <f>W7/W9</f>
        <v>0.45161290322580644</v>
      </c>
      <c r="X10" s="157"/>
      <c r="AD10" s="15" t="str">
        <f>D10</f>
        <v>R1</v>
      </c>
      <c r="AE10">
        <f>E10+$E$19</f>
        <v>10</v>
      </c>
      <c r="AF10">
        <f>F10+$E$19</f>
        <v>3</v>
      </c>
      <c r="AG10">
        <f>SUM(AE10:AF10)</f>
        <v>13</v>
      </c>
      <c r="AI10">
        <v>1</v>
      </c>
      <c r="AJ10">
        <f>$AG$12</f>
        <v>29</v>
      </c>
      <c r="AK10">
        <f>AE10</f>
        <v>10</v>
      </c>
      <c r="AL10">
        <f>AE12</f>
        <v>14</v>
      </c>
      <c r="AM10">
        <f>AG10</f>
        <v>13</v>
      </c>
      <c r="AN10">
        <f>AL10*AL11</f>
        <v>210</v>
      </c>
      <c r="AO10">
        <f>AM10*AM11</f>
        <v>208</v>
      </c>
      <c r="AP10">
        <f>AF10+AE11</f>
        <v>7</v>
      </c>
      <c r="AQ10">
        <f>AF10*AE11</f>
        <v>12</v>
      </c>
      <c r="AR10">
        <f>SQRT(AQ10)</f>
        <v>3.4641016151377544</v>
      </c>
      <c r="AS10" s="28">
        <f>(AK10-AR10)/AM10</f>
        <v>0.50276141422017273</v>
      </c>
      <c r="AT10" s="29">
        <f>(AK10-AR10)/AL10</f>
        <v>0.46684988463301752</v>
      </c>
      <c r="AU10" s="29">
        <f>(AK10-AR10)/$AG$12</f>
        <v>0.2253758063745602</v>
      </c>
      <c r="AV10" s="30">
        <f>2*(AK10-AR10)/(AL10+AM10)</f>
        <v>0.48414062110090711</v>
      </c>
      <c r="AW10" s="31">
        <f>((AM10*AS10)+(AM11*AS11))/$AG$12</f>
        <v>0.51971712999049979</v>
      </c>
      <c r="AX10" s="29">
        <f>1-AW10</f>
        <v>0.48028287000950021</v>
      </c>
      <c r="AY10" s="32">
        <f>1-AS10</f>
        <v>0.49723858577982727</v>
      </c>
      <c r="AZ10" s="32">
        <f>1-AT10</f>
        <v>0.53315011536698242</v>
      </c>
      <c r="BA10" s="33">
        <f>(AK10*AY10+0.25*AP10)/(AM10^2)</f>
        <v>3.9777431111232379E-2</v>
      </c>
      <c r="BB10" s="34">
        <f>(AK10*AY10+0.25*(AP10-(AJ10/AO10)*AQ10))/(AM10^2)</f>
        <v>3.7302465248692553E-2</v>
      </c>
      <c r="BC10" s="10">
        <f>(AK10*AZ10+0.25*(AP10-(AJ10/AN10)*AQ10))/(AL10^2)</f>
        <v>3.4016405302980154E-2</v>
      </c>
      <c r="BD10" s="10">
        <f>(AK10+0.25*AP10-AJ10*AU10^2)/(AJ10^2)</f>
        <v>1.2219936541176559E-2</v>
      </c>
      <c r="BE10" s="10">
        <f>(AK10*AY10+0.25*(AP10-(AJ10/AO10)*AQ10))/(AJ10^2)</f>
        <v>7.4959769643627126E-3</v>
      </c>
      <c r="BF10" s="10">
        <f>BJ10*(2-BK10)</f>
        <v>3.5656557159072573E-2</v>
      </c>
      <c r="BG10" s="10">
        <f>AX10*(1+AW10)/AJ10</f>
        <v>2.5168762234290959E-2</v>
      </c>
      <c r="BH10" s="35">
        <f>(AX10/AJ10)*((AK10/AM10)+(AK11/AM11))</f>
        <v>2.5160707381134295E-2</v>
      </c>
      <c r="BI10">
        <f>(AM10+AL10)^2</f>
        <v>729</v>
      </c>
      <c r="BJ10">
        <f>AJ10*AX10/BI10</f>
        <v>1.9105902922188622E-2</v>
      </c>
      <c r="BK10">
        <f>BJ10*AP10</f>
        <v>0.13374132045532036</v>
      </c>
    </row>
    <row r="11" spans="2:64" x14ac:dyDescent="0.2">
      <c r="C11" s="12"/>
      <c r="D11" s="13" t="s">
        <v>35</v>
      </c>
      <c r="E11" s="123">
        <f>'Agreement in tables 2x2'!E12</f>
        <v>4</v>
      </c>
      <c r="F11" s="123">
        <f>'Agreement in tables 2x2'!F12</f>
        <v>12</v>
      </c>
      <c r="G11" s="26">
        <f>F11+E11</f>
        <v>16</v>
      </c>
      <c r="I11">
        <f t="shared" si="3"/>
        <v>14</v>
      </c>
      <c r="J11">
        <f t="shared" si="3"/>
        <v>15</v>
      </c>
      <c r="L11" s="12">
        <f>AG12</f>
        <v>29</v>
      </c>
      <c r="M11" s="158">
        <f>M8/O9</f>
        <v>0.13793103448275862</v>
      </c>
      <c r="N11" s="159">
        <f>N8/O9</f>
        <v>0.41379310344827586</v>
      </c>
      <c r="O11" s="160">
        <f>O8/O9</f>
        <v>0.55172413793103448</v>
      </c>
      <c r="Q11" s="158">
        <f>Q8/S9</f>
        <v>0.13793103448275862</v>
      </c>
      <c r="R11" s="159">
        <f>R8/S9</f>
        <v>0.41379310344827586</v>
      </c>
      <c r="S11" s="160">
        <f>S8/S9</f>
        <v>0.55172413793103448</v>
      </c>
      <c r="T11" s="155"/>
      <c r="U11" s="158">
        <f>U8/W9</f>
        <v>0.14516129032258066</v>
      </c>
      <c r="V11" s="159">
        <f>V8/W9</f>
        <v>0.40322580645161288</v>
      </c>
      <c r="W11" s="160">
        <f>W8/W9</f>
        <v>0.54838709677419351</v>
      </c>
      <c r="X11" s="155"/>
      <c r="Z11" s="188" t="s">
        <v>104</v>
      </c>
      <c r="AD11" s="15" t="str">
        <f>D11</f>
        <v>R2</v>
      </c>
      <c r="AE11">
        <f>E11+$E$19</f>
        <v>4</v>
      </c>
      <c r="AF11">
        <f>F11+$E$19</f>
        <v>12</v>
      </c>
      <c r="AG11">
        <f>SUM(AE11:AF11)</f>
        <v>16</v>
      </c>
      <c r="AI11">
        <v>2</v>
      </c>
      <c r="AJ11">
        <f>AJ10</f>
        <v>29</v>
      </c>
      <c r="AK11">
        <f>AF11</f>
        <v>12</v>
      </c>
      <c r="AL11">
        <f>AF12</f>
        <v>15</v>
      </c>
      <c r="AM11">
        <f>AG11</f>
        <v>16</v>
      </c>
      <c r="AN11">
        <f>AN10</f>
        <v>210</v>
      </c>
      <c r="AO11">
        <f>AO10</f>
        <v>208</v>
      </c>
      <c r="AP11">
        <f>AP10</f>
        <v>7</v>
      </c>
      <c r="AQ11">
        <f>AQ10</f>
        <v>12</v>
      </c>
      <c r="AR11">
        <f>AR10</f>
        <v>3.4641016151377544</v>
      </c>
      <c r="AS11" s="28">
        <f>(AK11-AR11)/AM11</f>
        <v>0.53349364905389041</v>
      </c>
      <c r="AT11" s="29">
        <f>(AK11-AR11)/AL11</f>
        <v>0.56905989232414977</v>
      </c>
      <c r="AU11" s="29">
        <f>(AK11-AR11)/$AG$12</f>
        <v>0.29434132361593951</v>
      </c>
      <c r="AV11" s="30">
        <f>2*(AK11-AR11)/(AL11+AM11)</f>
        <v>0.55070312160401591</v>
      </c>
      <c r="AW11" s="31">
        <f>AW10</f>
        <v>0.51971712999049979</v>
      </c>
      <c r="AX11" s="29">
        <f>AX10</f>
        <v>0.48028287000950021</v>
      </c>
      <c r="AY11" s="32">
        <f>1-AS11</f>
        <v>0.46650635094610959</v>
      </c>
      <c r="AZ11" s="32">
        <f>1-AT11</f>
        <v>0.43094010767585023</v>
      </c>
      <c r="BA11" s="33">
        <f>(AK11*AY11+0.25*AP11)/(AM11^2)</f>
        <v>2.8703422700598887E-2</v>
      </c>
      <c r="BB11" s="34">
        <f>(AK11*AY11+0.25*(AP11-(AJ11/AO11)*AQ11))/(AM11^2)</f>
        <v>2.7069558517906579E-2</v>
      </c>
      <c r="BC11" s="10">
        <f>(AK11*AZ11+0.25*(AP11-(AJ11/AN11)*AQ11))/(AL11^2)</f>
        <v>2.8919980345886616E-2</v>
      </c>
      <c r="BD11" s="10">
        <f>(AK11+0.25*AP11-AJ11*AU11^2)/(AJ11^2)</f>
        <v>1.3362107456775846E-2</v>
      </c>
      <c r="BE11" s="10">
        <f>(AK11*AY11+0.25*(AP11-(AJ11/AO11)*AQ11))/(AJ11^2)</f>
        <v>8.2399607379121092E-3</v>
      </c>
      <c r="BF11" s="10">
        <f>BJ11*(2-BK11)</f>
        <v>2.7516475198747534E-2</v>
      </c>
      <c r="BG11" s="10">
        <f>AX11*(1+AW11)/AJ11</f>
        <v>2.5168762234290959E-2</v>
      </c>
      <c r="BH11" s="35">
        <f>BH10</f>
        <v>2.5160707381134295E-2</v>
      </c>
      <c r="BI11">
        <f>(AM11+AL11)^2</f>
        <v>961</v>
      </c>
      <c r="BJ11">
        <f>AJ11*AX11/BI11</f>
        <v>1.4493447690193034E-2</v>
      </c>
      <c r="BK11">
        <f>BJ11*AP11</f>
        <v>0.10145413383135124</v>
      </c>
    </row>
    <row r="12" spans="2:64" ht="13.5" thickBot="1" x14ac:dyDescent="0.25">
      <c r="C12" s="12"/>
      <c r="E12">
        <f>E11+E10</f>
        <v>14</v>
      </c>
      <c r="F12">
        <f>F11+F10</f>
        <v>15</v>
      </c>
      <c r="G12" s="26">
        <f>G11+G10</f>
        <v>29</v>
      </c>
      <c r="M12" s="161">
        <f>M9/O9</f>
        <v>0.48275862068965519</v>
      </c>
      <c r="N12" s="162">
        <f>N9/O9</f>
        <v>0.51724137931034486</v>
      </c>
      <c r="O12" s="161">
        <f>O9/O9</f>
        <v>1</v>
      </c>
      <c r="Q12" s="161">
        <f>Q9/S9</f>
        <v>0.48275862068965519</v>
      </c>
      <c r="R12" s="162">
        <f>R9/S9</f>
        <v>0.51724137931034486</v>
      </c>
      <c r="S12" s="161">
        <f>S9/S9</f>
        <v>1</v>
      </c>
      <c r="T12" s="155"/>
      <c r="U12" s="161">
        <f>U9/W9</f>
        <v>0.4838709677419355</v>
      </c>
      <c r="V12" s="162">
        <f>V9/W9</f>
        <v>0.5161290322580645</v>
      </c>
      <c r="W12" s="161">
        <f>W9/W9</f>
        <v>1</v>
      </c>
      <c r="X12" s="155"/>
      <c r="Z12" s="187" t="s">
        <v>105</v>
      </c>
      <c r="AA12">
        <v>1</v>
      </c>
      <c r="AE12">
        <f>SUM(AE10:AE11)</f>
        <v>14</v>
      </c>
      <c r="AF12">
        <f>SUM(AF10:AF11)</f>
        <v>15</v>
      </c>
      <c r="AG12">
        <f>SUM(AG10:AG11)</f>
        <v>29</v>
      </c>
      <c r="AS12" s="38"/>
      <c r="AT12" s="39"/>
      <c r="AU12" s="39"/>
      <c r="AV12" s="40"/>
      <c r="AW12" s="41"/>
      <c r="AX12" s="10"/>
      <c r="BA12" s="38"/>
      <c r="BB12" s="39"/>
      <c r="BC12" s="39"/>
      <c r="BD12" s="39"/>
      <c r="BE12" s="39"/>
      <c r="BF12" s="39"/>
      <c r="BG12" s="39"/>
      <c r="BH12" s="40"/>
      <c r="BI12" s="10"/>
    </row>
    <row r="13" spans="2:64" x14ac:dyDescent="0.2">
      <c r="C13" s="12"/>
      <c r="D13" s="42" t="s">
        <v>70</v>
      </c>
      <c r="E13" s="42" t="str">
        <f>IF(G13=0,"Marginal=0 (2.0)",IF(G13=1,"Diagonal (2.1)",IF(G13=2,"Normal (2.2)","Trivial")))</f>
        <v>Normal (2.2)</v>
      </c>
      <c r="G13" s="43">
        <f>IF(OR(E12=0,F12=0,G10=0,G11=0),0,IF(AND(F10=0,E11=0),1,2))</f>
        <v>2</v>
      </c>
      <c r="I13" s="145" t="s">
        <v>36</v>
      </c>
      <c r="J13" s="146">
        <f>K13</f>
        <v>0.51551312649164682</v>
      </c>
      <c r="K13" s="169">
        <f>2*(M7*N8-N7*M8)/(O7*N9+O8*M9)</f>
        <v>0.51551312649164682</v>
      </c>
      <c r="M13" s="163" t="s">
        <v>59</v>
      </c>
      <c r="N13" s="164">
        <f>M10*(1-(O10+M12)*N16)^2</f>
        <v>0.10390336868863148</v>
      </c>
      <c r="O13" s="164">
        <f>N11*(1-(O11+N12)*N16)^2</f>
        <v>9.6174057980436697E-2</v>
      </c>
      <c r="Q13" s="163" t="s">
        <v>59</v>
      </c>
      <c r="R13" s="164">
        <f>Q10*(1-(S10+Q12)*R16)^2</f>
        <v>0.10390336868863148</v>
      </c>
      <c r="S13" s="164">
        <f>R11*(1-(S11+R12)*R16)^2</f>
        <v>9.6174057980436697E-2</v>
      </c>
      <c r="T13" s="256"/>
      <c r="U13" s="163" t="s">
        <v>59</v>
      </c>
      <c r="V13" s="164">
        <f>U10*(1-(W10+U12)*V16)^2</f>
        <v>9.006384521370378E-2</v>
      </c>
      <c r="W13" s="164">
        <f>V11*(1-(W11+V12)*V16)^2</f>
        <v>8.1237062701199014E-2</v>
      </c>
      <c r="X13" s="164"/>
      <c r="Z13" s="187" t="s">
        <v>106</v>
      </c>
      <c r="AA13">
        <v>0</v>
      </c>
      <c r="AS13" s="10"/>
      <c r="AT13" s="10"/>
      <c r="AU13" s="10"/>
      <c r="AV13" s="10"/>
      <c r="AW13" s="10"/>
      <c r="AX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2:64" ht="13.5" thickBot="1" x14ac:dyDescent="0.25">
      <c r="C14" s="12"/>
      <c r="D14" s="42" t="str">
        <f>"Kappa (SE"&amp;F15&amp;")="</f>
        <v>Kappa (SE)=</v>
      </c>
      <c r="E14" s="121">
        <f>R24</f>
        <v>0.51551312649164682</v>
      </c>
      <c r="F14" s="121">
        <f>IF(E15,V25,R25)</f>
        <v>0.15902543198590346</v>
      </c>
      <c r="G14" s="47" t="str">
        <f>IF(E15,U26,"")</f>
        <v/>
      </c>
      <c r="I14" s="15" t="s">
        <v>68</v>
      </c>
      <c r="J14" s="146">
        <f>N28</f>
        <v>0.15902543198590346</v>
      </c>
      <c r="M14" s="165" t="s">
        <v>60</v>
      </c>
      <c r="N14" s="166">
        <f>N10*(M12+O11)^2</f>
        <v>0.1107056459879454</v>
      </c>
      <c r="O14" s="166">
        <f>M11*(O10+N12)^2</f>
        <v>0.12858255771044325</v>
      </c>
      <c r="Q14" s="165" t="s">
        <v>60</v>
      </c>
      <c r="R14" s="166">
        <f>R10*(Q12+S11)^2</f>
        <v>0.1107056459879454</v>
      </c>
      <c r="S14" s="166">
        <f>Q11*(S10+R12)^2</f>
        <v>0.12858255771044325</v>
      </c>
      <c r="T14" s="253"/>
      <c r="U14" s="165" t="s">
        <v>60</v>
      </c>
      <c r="V14" s="166">
        <f>V10*(U12+W11)^2</f>
        <v>0.12030479003725955</v>
      </c>
      <c r="W14" s="166">
        <f>U11*(W10+V12)^2</f>
        <v>0.13594709811688097</v>
      </c>
      <c r="X14" s="253"/>
      <c r="AE14" s="47"/>
      <c r="AF14" s="47" t="s">
        <v>133</v>
      </c>
      <c r="AH14">
        <f>SQRT(AF10)+SQRT(AE11)</f>
        <v>3.7320508075688772</v>
      </c>
      <c r="AS14" s="10"/>
      <c r="AT14" s="10"/>
      <c r="AU14" s="10"/>
      <c r="AV14" s="10"/>
      <c r="AW14" s="10"/>
      <c r="AX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2:64" x14ac:dyDescent="0.2">
      <c r="C15" s="12"/>
      <c r="D15" s="15" t="s">
        <v>139</v>
      </c>
      <c r="E15" s="12">
        <f>IF(F10+E11=0,1,0)</f>
        <v>0</v>
      </c>
      <c r="F15" t="str">
        <f>IF(E15,"*","")</f>
        <v/>
      </c>
      <c r="G15" s="43"/>
      <c r="M15" s="157" t="s">
        <v>63</v>
      </c>
      <c r="N15" s="157">
        <f>((O7*M9)+(O8*N9))/N21</f>
        <v>0.50178359096313907</v>
      </c>
      <c r="O15" s="157"/>
      <c r="Q15" s="157" t="s">
        <v>63</v>
      </c>
      <c r="R15" s="157">
        <f>((S7*Q9)+(S8*R9))/R21</f>
        <v>0.50178359096313907</v>
      </c>
      <c r="S15" s="157"/>
      <c r="T15" s="155"/>
      <c r="U15" s="157" t="s">
        <v>63</v>
      </c>
      <c r="V15" s="157">
        <f>((W7*U9)+(W8*V9))/V21</f>
        <v>0.50156087408949013</v>
      </c>
      <c r="W15" s="157"/>
      <c r="X15" s="157"/>
      <c r="Z15" s="188" t="s">
        <v>107</v>
      </c>
      <c r="AF15">
        <f>SQRT(AE11)/AH14</f>
        <v>0.53589838486224539</v>
      </c>
      <c r="AS15" s="10"/>
      <c r="AT15" s="10"/>
      <c r="AU15" s="10"/>
      <c r="AV15" s="10"/>
      <c r="AW15" s="10"/>
      <c r="AX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2:64" ht="13.5" thickBot="1" x14ac:dyDescent="0.25">
      <c r="B16" s="42">
        <v>2</v>
      </c>
      <c r="C16" s="136" t="s">
        <v>37</v>
      </c>
      <c r="D16" s="39"/>
      <c r="E16" s="39"/>
      <c r="F16" s="39"/>
      <c r="G16" s="39"/>
      <c r="H16" s="39"/>
      <c r="I16" s="39"/>
      <c r="J16" s="39"/>
      <c r="K16" s="39"/>
      <c r="M16" s="157" t="s">
        <v>65</v>
      </c>
      <c r="N16" s="167">
        <f>1-K13</f>
        <v>0.48448687350835318</v>
      </c>
      <c r="O16" s="157"/>
      <c r="Q16" s="157" t="s">
        <v>65</v>
      </c>
      <c r="R16" s="167">
        <f>1-R24</f>
        <v>0.48448687350835318</v>
      </c>
      <c r="S16" s="157"/>
      <c r="T16" s="155"/>
      <c r="U16" s="157" t="s">
        <v>65</v>
      </c>
      <c r="V16" s="167">
        <f>1-V24</f>
        <v>0.51774530271398755</v>
      </c>
      <c r="W16" s="157"/>
      <c r="X16" s="157"/>
      <c r="Z16">
        <v>0</v>
      </c>
      <c r="AF16">
        <f>SQRT(AF10)/AH14</f>
        <v>0.46410161513775455</v>
      </c>
      <c r="AK16" s="15"/>
      <c r="AL16" s="15"/>
      <c r="AM16" s="15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2:61" x14ac:dyDescent="0.2">
      <c r="C17" s="12"/>
      <c r="D17" s="5" t="s">
        <v>82</v>
      </c>
      <c r="E17" s="122">
        <f>G17</f>
        <v>2</v>
      </c>
      <c r="F17" s="42" t="str">
        <f>IF(E17=1,"&lt; Type I",IF(E17=2,"&lt; Type II","&lt; ERROR"))</f>
        <v>&lt; Type II</v>
      </c>
      <c r="G17" s="189">
        <f>IF('Agreement in tables 2x2'!E18='!'!Z8,'!'!AA8,'!'!AA9)</f>
        <v>2</v>
      </c>
      <c r="I17" s="46" t="s">
        <v>81</v>
      </c>
      <c r="M17" s="157" t="s">
        <v>66</v>
      </c>
      <c r="N17" s="157">
        <f>N16^2</f>
        <v>0.23472753060189902</v>
      </c>
      <c r="O17" s="157"/>
      <c r="Q17" s="157" t="s">
        <v>66</v>
      </c>
      <c r="R17" s="157">
        <f>R16^2</f>
        <v>0.23472753060189902</v>
      </c>
      <c r="S17" s="157"/>
      <c r="T17" s="155"/>
      <c r="U17" s="157" t="s">
        <v>66</v>
      </c>
      <c r="V17" s="157">
        <f>V16^2</f>
        <v>0.26806019848239859</v>
      </c>
      <c r="W17" s="157"/>
      <c r="X17" s="157"/>
      <c r="Z17">
        <v>0.5</v>
      </c>
      <c r="AK17" s="15"/>
      <c r="AL17" s="15"/>
      <c r="AM17" s="15"/>
      <c r="BA17" s="10"/>
      <c r="BB17" s="10"/>
      <c r="BC17" s="10"/>
      <c r="BD17" s="10"/>
      <c r="BE17" s="10"/>
      <c r="BF17" s="10"/>
      <c r="BG17" s="10"/>
      <c r="BH17" s="10"/>
      <c r="BI17" s="10"/>
    </row>
    <row r="18" spans="2:61" x14ac:dyDescent="0.2">
      <c r="C18" s="12"/>
      <c r="D18" s="5" t="s">
        <v>83</v>
      </c>
      <c r="E18" s="122">
        <f>G18</f>
        <v>1</v>
      </c>
      <c r="F18" s="42" t="str">
        <f>IF(E18=1,"&lt; YES",IF(E18=0,"&lt; NO","&lt; ERROR"))</f>
        <v>&lt; YES</v>
      </c>
      <c r="G18" s="190">
        <f>IF('Agreement in tables 2x2'!E19='!'!Z12,'!'!AA12,0)</f>
        <v>1</v>
      </c>
      <c r="I18" s="122">
        <f>K18</f>
        <v>1</v>
      </c>
      <c r="J18" s="47" t="str">
        <f>IF(I18=1,"&lt; YES",IF(I18=0,"&lt; NO","&lt; ERROR"))</f>
        <v>&lt; YES</v>
      </c>
      <c r="K18" s="190">
        <f>IF('Agreement in tables 2x2'!I19='!'!Z21,1,0)</f>
        <v>1</v>
      </c>
      <c r="M18" s="157" t="s">
        <v>59</v>
      </c>
      <c r="N18" s="157">
        <f>N13+O13</f>
        <v>0.20007742666906819</v>
      </c>
      <c r="O18" s="157"/>
      <c r="Q18" s="157" t="s">
        <v>59</v>
      </c>
      <c r="R18" s="157">
        <f>R13+S13</f>
        <v>0.20007742666906819</v>
      </c>
      <c r="S18" s="157"/>
      <c r="T18" s="155"/>
      <c r="U18" s="157" t="s">
        <v>59</v>
      </c>
      <c r="V18" s="157">
        <f>V13+W13</f>
        <v>0.17130090791490279</v>
      </c>
      <c r="W18" s="157"/>
      <c r="X18" s="157"/>
      <c r="Z18">
        <v>1</v>
      </c>
      <c r="AK18" s="15"/>
      <c r="AL18" s="15"/>
      <c r="AM18" s="15"/>
      <c r="BA18" s="10"/>
      <c r="BB18" s="10"/>
      <c r="BC18" s="10"/>
      <c r="BD18" s="10"/>
      <c r="BE18" s="10"/>
      <c r="BF18" s="10"/>
      <c r="BG18" s="10"/>
      <c r="BH18" s="10"/>
      <c r="BI18" s="10"/>
    </row>
    <row r="19" spans="2:61" x14ac:dyDescent="0.2">
      <c r="C19" s="12"/>
      <c r="D19" s="5" t="s">
        <v>84</v>
      </c>
      <c r="E19" s="122">
        <f>G19</f>
        <v>0</v>
      </c>
      <c r="F19" s="49" t="str">
        <f>IF(AND(E19=0,G13&lt;&gt;1),"&lt; Normal",IF(E19=1,"&lt; Extra",IF(AND(E19=0.5,G13=1),"&lt; Normal (type 2.1)","&lt; TEST (this is not a standard problem)")))</f>
        <v>&lt; Normal</v>
      </c>
      <c r="G19" s="190">
        <f>IF('Agreement in tables 2x2'!E20='!'!Z16,0,IF('Agreement in tables 2x2'!E20='!'!Z17,0.5,1))</f>
        <v>0</v>
      </c>
      <c r="I19" s="1" t="str">
        <f>IF(I18=1,"Valid measures are highlighted ","Valid measures are not highlighted ")</f>
        <v xml:space="preserve">Valid measures are highlighted </v>
      </c>
      <c r="M19" s="157" t="s">
        <v>60</v>
      </c>
      <c r="N19" s="157">
        <f>N17*(N14+O14)</f>
        <v>5.616752915628697E-2</v>
      </c>
      <c r="O19" s="157"/>
      <c r="P19" s="13"/>
      <c r="Q19" s="157" t="s">
        <v>60</v>
      </c>
      <c r="R19" s="157">
        <f>R17*(R14+S14)</f>
        <v>5.616752915628697E-2</v>
      </c>
      <c r="S19" s="157"/>
      <c r="T19" s="155"/>
      <c r="U19" s="157" t="s">
        <v>60</v>
      </c>
      <c r="V19" s="157">
        <f>V17*(V14+W14)</f>
        <v>6.8690932000088314E-2</v>
      </c>
      <c r="W19" s="157"/>
      <c r="X19" s="157"/>
      <c r="AK19" s="15"/>
      <c r="AL19" s="15"/>
      <c r="AM19" s="15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2:61" x14ac:dyDescent="0.2">
      <c r="C20" s="12"/>
      <c r="I20" s="184" t="s">
        <v>101</v>
      </c>
      <c r="J20" s="47"/>
      <c r="M20" s="157" t="s">
        <v>61</v>
      </c>
      <c r="N20" s="157">
        <f>(K13-N15*N16)^2</f>
        <v>7.4204790932111089E-2</v>
      </c>
      <c r="O20" s="157"/>
      <c r="Q20" s="157" t="s">
        <v>61</v>
      </c>
      <c r="R20" s="157">
        <f>(R24-R15*R16)^2</f>
        <v>7.4204790932111089E-2</v>
      </c>
      <c r="S20" s="157"/>
      <c r="T20" s="155"/>
      <c r="U20" s="157" t="s">
        <v>61</v>
      </c>
      <c r="V20" s="157">
        <f>(V24-V15*V16)^2</f>
        <v>4.9539145724762208E-2</v>
      </c>
      <c r="W20" s="157"/>
      <c r="X20" s="157"/>
      <c r="Z20" s="42" t="s">
        <v>108</v>
      </c>
      <c r="AK20" s="15"/>
      <c r="AL20" s="15"/>
      <c r="AM20" s="15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2:61" x14ac:dyDescent="0.2">
      <c r="C21" s="12"/>
      <c r="I21" s="184" t="s">
        <v>110</v>
      </c>
      <c r="J21" s="47"/>
      <c r="M21" s="157" t="s">
        <v>67</v>
      </c>
      <c r="N21" s="157">
        <f>O9^2</f>
        <v>841</v>
      </c>
      <c r="O21" s="157"/>
      <c r="Q21" s="157" t="s">
        <v>67</v>
      </c>
      <c r="R21" s="157">
        <f>S9^2</f>
        <v>841</v>
      </c>
      <c r="S21" s="157"/>
      <c r="T21" s="155"/>
      <c r="U21" s="157" t="s">
        <v>67</v>
      </c>
      <c r="V21" s="157">
        <f>W9^2</f>
        <v>961</v>
      </c>
      <c r="W21" s="157"/>
      <c r="X21" s="157"/>
      <c r="Z21" s="47" t="s">
        <v>105</v>
      </c>
      <c r="AA21">
        <v>1</v>
      </c>
      <c r="AK21" s="15"/>
      <c r="AL21" s="15"/>
      <c r="AM21" s="15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2:61" ht="13.5" thickBot="1" x14ac:dyDescent="0.25">
      <c r="D22" s="240" t="s">
        <v>132</v>
      </c>
      <c r="E22" s="240" t="s">
        <v>17</v>
      </c>
      <c r="M22" s="168" t="s">
        <v>64</v>
      </c>
      <c r="N22" s="168">
        <f>(N18+N19-N20)/(O9*(1-N15)^2)</f>
        <v>2.5289088018303207E-2</v>
      </c>
      <c r="O22" s="157"/>
      <c r="Q22" s="168" t="s">
        <v>64</v>
      </c>
      <c r="R22" s="168">
        <f>(R18+R19-R20)/(S9*(1-R15)^2)</f>
        <v>2.5289088018303207E-2</v>
      </c>
      <c r="S22" s="157"/>
      <c r="T22" s="155"/>
      <c r="U22" s="168" t="s">
        <v>64</v>
      </c>
      <c r="V22" s="168">
        <f>(V18+V19-V20)/(W9*(1-V15)^2)</f>
        <v>2.4728693706099217E-2</v>
      </c>
      <c r="W22" s="157"/>
      <c r="X22" s="157"/>
      <c r="Z22" s="47" t="s">
        <v>106</v>
      </c>
      <c r="AA22">
        <v>0</v>
      </c>
      <c r="AD22" t="s">
        <v>39</v>
      </c>
      <c r="AM22" s="50"/>
    </row>
    <row r="23" spans="2:61" x14ac:dyDescent="0.2">
      <c r="B23" s="42"/>
      <c r="C23" s="234">
        <v>1</v>
      </c>
      <c r="D23" s="146">
        <f>AS10</f>
        <v>0.50276141422017273</v>
      </c>
      <c r="E23" s="146">
        <f>IF(E15,"∞",AT10)</f>
        <v>0.46684988463301752</v>
      </c>
      <c r="F23" s="10"/>
      <c r="G23" s="10"/>
      <c r="H23" s="10"/>
      <c r="I23" s="10"/>
      <c r="J23" s="10"/>
      <c r="K23" s="10"/>
      <c r="M23" s="155"/>
      <c r="N23" s="155"/>
      <c r="O23" s="157"/>
      <c r="Q23" s="155"/>
      <c r="R23" s="155"/>
      <c r="S23" s="157"/>
      <c r="T23" s="155"/>
      <c r="U23" s="155"/>
      <c r="V23" s="155"/>
      <c r="W23" s="157"/>
      <c r="X23" s="157"/>
      <c r="Z23" s="47"/>
      <c r="AM23" s="50"/>
    </row>
    <row r="24" spans="2:61" x14ac:dyDescent="0.2">
      <c r="B24" s="42"/>
      <c r="C24" s="234">
        <v>2</v>
      </c>
      <c r="D24" s="146">
        <f>AS11</f>
        <v>0.53349364905389041</v>
      </c>
      <c r="E24" s="146">
        <f>IF(E15,"∞",AT11)</f>
        <v>0.56905989232414977</v>
      </c>
      <c r="F24" s="10"/>
      <c r="G24" s="10"/>
      <c r="H24" s="10"/>
      <c r="I24" s="10"/>
      <c r="J24" s="10"/>
      <c r="K24" s="10"/>
      <c r="M24" s="257" t="s">
        <v>141</v>
      </c>
      <c r="N24" s="155"/>
      <c r="O24" s="157"/>
      <c r="Q24" s="239" t="s">
        <v>62</v>
      </c>
      <c r="R24" s="169">
        <f>2*(Q7*R8-R7*Q8)/(S7*R9+S8*Q9)</f>
        <v>0.51551312649164682</v>
      </c>
      <c r="S24" s="157"/>
      <c r="T24" s="155"/>
      <c r="U24" s="239" t="s">
        <v>62</v>
      </c>
      <c r="V24" s="169">
        <f>2*(U7*V8-V7*U8)/(W7*V9+W8*U9)</f>
        <v>0.4822546972860125</v>
      </c>
      <c r="W24" s="157"/>
      <c r="X24" s="157"/>
      <c r="Z24" s="47"/>
      <c r="AM24" s="50"/>
    </row>
    <row r="25" spans="2:61" x14ac:dyDescent="0.2">
      <c r="B25" s="42"/>
      <c r="C25" s="234"/>
      <c r="D25" s="10"/>
      <c r="E25" s="10"/>
      <c r="F25" s="10"/>
      <c r="G25" s="10"/>
      <c r="H25" s="10"/>
      <c r="I25" s="10"/>
      <c r="J25" s="10"/>
      <c r="K25" s="10"/>
      <c r="M25" s="155"/>
      <c r="N25" s="155"/>
      <c r="O25" s="157"/>
      <c r="Q25" s="155" t="s">
        <v>137</v>
      </c>
      <c r="R25" s="157">
        <f>SQRT(R22)</f>
        <v>0.15902543198590346</v>
      </c>
      <c r="S25" s="157"/>
      <c r="T25" s="155"/>
      <c r="U25" s="239" t="s">
        <v>142</v>
      </c>
      <c r="V25" s="157">
        <f>SQRT(V22)</f>
        <v>0.15725359679860812</v>
      </c>
      <c r="W25" s="157"/>
      <c r="X25" s="157"/>
      <c r="Z25" s="47"/>
      <c r="AM25" s="50"/>
    </row>
    <row r="26" spans="2:61" ht="13.5" thickBot="1" x14ac:dyDescent="0.25">
      <c r="B26" s="42">
        <v>3</v>
      </c>
      <c r="C26" s="136" t="s">
        <v>38</v>
      </c>
      <c r="D26" s="39"/>
      <c r="E26" s="39"/>
      <c r="F26" s="39"/>
      <c r="G26" s="39"/>
      <c r="H26" s="39"/>
      <c r="I26" s="39"/>
      <c r="J26" s="39"/>
      <c r="K26" s="39"/>
      <c r="M26" s="155"/>
      <c r="N26" s="155"/>
      <c r="O26" s="157"/>
      <c r="Q26" s="155"/>
      <c r="R26" s="155"/>
      <c r="S26" s="157"/>
      <c r="T26" s="155"/>
      <c r="U26" s="157" t="s">
        <v>140</v>
      </c>
      <c r="V26" s="157"/>
      <c r="W26" s="157"/>
      <c r="X26" s="157"/>
      <c r="Z26" s="47"/>
      <c r="AM26" s="50"/>
    </row>
    <row r="27" spans="2:61" ht="15.75" customHeight="1" x14ac:dyDescent="0.2">
      <c r="C27" s="15"/>
      <c r="D27" s="51" t="s">
        <v>71</v>
      </c>
      <c r="E27" s="51" t="s">
        <v>72</v>
      </c>
      <c r="F27" s="51" t="s">
        <v>73</v>
      </c>
      <c r="G27" s="51" t="s">
        <v>125</v>
      </c>
      <c r="H27" s="13" t="s">
        <v>74</v>
      </c>
      <c r="I27" s="13" t="s">
        <v>75</v>
      </c>
      <c r="J27" s="13" t="s">
        <v>41</v>
      </c>
      <c r="M27" s="157"/>
      <c r="O27" s="157"/>
      <c r="Q27" s="157"/>
      <c r="S27" s="157"/>
      <c r="T27" s="155"/>
      <c r="U27" s="157"/>
      <c r="V27" s="157"/>
      <c r="W27" s="157"/>
      <c r="X27" s="157"/>
      <c r="AE27" s="52" t="s">
        <v>42</v>
      </c>
      <c r="AF27" s="52" t="s">
        <v>40</v>
      </c>
      <c r="AG27" s="52" t="s">
        <v>43</v>
      </c>
      <c r="AH27" s="53"/>
      <c r="AM27" s="50"/>
    </row>
    <row r="28" spans="2:61" ht="3.75" customHeight="1" thickBot="1" x14ac:dyDescent="0.25">
      <c r="E28" s="26"/>
      <c r="G28" s="26"/>
      <c r="M28" s="157"/>
      <c r="N28" s="170">
        <f>SQRT(N22)</f>
        <v>0.15902543198590346</v>
      </c>
      <c r="O28" s="157"/>
      <c r="Q28" s="157"/>
      <c r="S28" s="157"/>
      <c r="T28" s="155"/>
      <c r="U28" s="157"/>
      <c r="V28" s="157"/>
      <c r="W28" s="157"/>
      <c r="X28" s="157"/>
      <c r="AE28" s="53"/>
      <c r="AF28" s="53"/>
      <c r="AG28" s="53"/>
      <c r="AH28" s="53"/>
    </row>
    <row r="29" spans="2:61" ht="12.75" customHeight="1" x14ac:dyDescent="0.2">
      <c r="D29" s="332" t="s">
        <v>126</v>
      </c>
      <c r="E29" s="335" t="s">
        <v>78</v>
      </c>
      <c r="F29" s="338" t="s">
        <v>44</v>
      </c>
      <c r="G29" s="54">
        <v>1</v>
      </c>
      <c r="H29" s="55">
        <f>AS10</f>
        <v>0.50276141422017273</v>
      </c>
      <c r="I29" s="55">
        <f>BA10</f>
        <v>3.9777431111232379E-2</v>
      </c>
      <c r="J29" s="56">
        <f>SQRT(I29)</f>
        <v>0.19944280160294675</v>
      </c>
      <c r="K29" t="str">
        <f>IF(AH29,"&lt;","")</f>
        <v/>
      </c>
      <c r="AE29" s="57">
        <f>AF29*AG29*$I$18</f>
        <v>0</v>
      </c>
      <c r="AF29" s="53">
        <f>IF($E$17=1,1,0)</f>
        <v>0</v>
      </c>
      <c r="AG29" s="53">
        <f>IF($E$18=1,1,0)</f>
        <v>1</v>
      </c>
      <c r="AH29" s="53">
        <f>AF29*AG29*(1-$I$18)</f>
        <v>0</v>
      </c>
      <c r="AM29" s="50"/>
    </row>
    <row r="30" spans="2:61" x14ac:dyDescent="0.2">
      <c r="D30" s="333"/>
      <c r="E30" s="336"/>
      <c r="F30" s="339"/>
      <c r="G30" s="58">
        <v>2</v>
      </c>
      <c r="H30" s="59">
        <f>AS11</f>
        <v>0.53349364905389041</v>
      </c>
      <c r="I30" s="59">
        <f>BA11</f>
        <v>2.8703422700598887E-2</v>
      </c>
      <c r="J30" s="60">
        <f>SQRT(I30)</f>
        <v>0.16942084494122583</v>
      </c>
      <c r="K30" t="str">
        <f t="shared" ref="K30:K46" si="5">IF(AH30,"&lt;","")</f>
        <v/>
      </c>
      <c r="AE30" s="57">
        <f>AF30*AG30*$I$18</f>
        <v>0</v>
      </c>
      <c r="AF30" s="53">
        <f>IF($E$17=1,1,0)</f>
        <v>0</v>
      </c>
      <c r="AG30" s="53">
        <f>IF($E$18=1,1,0)</f>
        <v>1</v>
      </c>
      <c r="AH30" s="53">
        <f t="shared" ref="AH30:AH46" si="6">AF30*AG30*(1-$I$18)</f>
        <v>0</v>
      </c>
      <c r="AM30" s="50"/>
    </row>
    <row r="31" spans="2:61" x14ac:dyDescent="0.2">
      <c r="D31" s="333"/>
      <c r="E31" s="336"/>
      <c r="F31" s="339" t="s">
        <v>45</v>
      </c>
      <c r="G31" s="58">
        <v>1</v>
      </c>
      <c r="H31" s="61">
        <f>AS10</f>
        <v>0.50276141422017273</v>
      </c>
      <c r="I31" s="59">
        <f>BB10</f>
        <v>3.7302465248692553E-2</v>
      </c>
      <c r="J31" s="60">
        <f>SQRT(I31)</f>
        <v>0.1931384613397667</v>
      </c>
      <c r="K31" t="str">
        <f t="shared" si="5"/>
        <v/>
      </c>
      <c r="O31" s="13"/>
      <c r="AE31" s="57">
        <f>AF31*AG31*$I$18</f>
        <v>1</v>
      </c>
      <c r="AF31" s="53">
        <f>IF($E$17=1,0,1)</f>
        <v>1</v>
      </c>
      <c r="AG31" s="53">
        <f>IF($E$18=1,1,0)</f>
        <v>1</v>
      </c>
      <c r="AH31" s="53">
        <f t="shared" si="6"/>
        <v>0</v>
      </c>
    </row>
    <row r="32" spans="2:61" ht="13.5" thickBot="1" x14ac:dyDescent="0.25">
      <c r="D32" s="334"/>
      <c r="E32" s="337"/>
      <c r="F32" s="340"/>
      <c r="G32" s="62">
        <v>2</v>
      </c>
      <c r="H32" s="63">
        <f>AS11</f>
        <v>0.53349364905389041</v>
      </c>
      <c r="I32" s="64">
        <f>BB11</f>
        <v>2.7069558517906579E-2</v>
      </c>
      <c r="J32" s="65">
        <f>SQRT(I32)</f>
        <v>0.16452829093474039</v>
      </c>
      <c r="K32" t="str">
        <f t="shared" si="5"/>
        <v/>
      </c>
      <c r="AE32" s="57">
        <f>AF32*AG32*$I$18</f>
        <v>1</v>
      </c>
      <c r="AF32" s="53">
        <f>IF($E$17=1,0,1)</f>
        <v>1</v>
      </c>
      <c r="AG32" s="53">
        <f>IF($E$18=1,1,0)</f>
        <v>1</v>
      </c>
      <c r="AH32" s="53">
        <f t="shared" si="6"/>
        <v>0</v>
      </c>
    </row>
    <row r="33" spans="3:34" ht="3.75" customHeight="1" thickBot="1" x14ac:dyDescent="0.25">
      <c r="D33" s="10"/>
      <c r="E33" s="66"/>
      <c r="F33" s="10"/>
      <c r="G33" s="67"/>
      <c r="H33" s="68"/>
      <c r="I33" s="68"/>
      <c r="J33" s="68"/>
      <c r="K33" t="str">
        <f t="shared" si="5"/>
        <v/>
      </c>
      <c r="AE33" s="57"/>
      <c r="AF33" s="53"/>
      <c r="AG33" s="53"/>
      <c r="AH33" s="53">
        <f t="shared" si="6"/>
        <v>0</v>
      </c>
    </row>
    <row r="34" spans="3:34" ht="12.75" customHeight="1" x14ac:dyDescent="0.2">
      <c r="D34" s="344" t="s">
        <v>127</v>
      </c>
      <c r="E34" s="335" t="s">
        <v>78</v>
      </c>
      <c r="F34" s="338" t="s">
        <v>44</v>
      </c>
      <c r="G34" s="54">
        <v>1</v>
      </c>
      <c r="H34" s="55">
        <f>AT10</f>
        <v>0.46684988463301752</v>
      </c>
      <c r="I34" s="55">
        <f>BC10</f>
        <v>3.4016405302980154E-2</v>
      </c>
      <c r="J34" s="56">
        <f>SQRT(I34)</f>
        <v>0.18443536890461154</v>
      </c>
      <c r="K34" t="str">
        <f t="shared" si="5"/>
        <v/>
      </c>
      <c r="AE34" s="57">
        <f>AF34*AG34*$I$18</f>
        <v>0</v>
      </c>
      <c r="AF34" s="53">
        <f>IF($E$17=1,1,0)</f>
        <v>0</v>
      </c>
      <c r="AG34" s="53">
        <f>IF($E$18=1,1,0)</f>
        <v>1</v>
      </c>
      <c r="AH34" s="53">
        <f t="shared" si="6"/>
        <v>0</v>
      </c>
    </row>
    <row r="35" spans="3:34" ht="13.5" thickBot="1" x14ac:dyDescent="0.25">
      <c r="D35" s="345"/>
      <c r="E35" s="337"/>
      <c r="F35" s="340"/>
      <c r="G35" s="62">
        <v>2</v>
      </c>
      <c r="H35" s="64">
        <f>AT11</f>
        <v>0.56905989232414977</v>
      </c>
      <c r="I35" s="64">
        <f>BC11</f>
        <v>2.8919980345886616E-2</v>
      </c>
      <c r="J35" s="65">
        <f>SQRT(I35)</f>
        <v>0.17005875556961664</v>
      </c>
      <c r="K35" t="str">
        <f t="shared" si="5"/>
        <v/>
      </c>
      <c r="O35" s="12"/>
      <c r="AE35" s="57">
        <f>AF35*AG35*$I$18</f>
        <v>0</v>
      </c>
      <c r="AF35" s="53">
        <f>IF($E$17=1,1,0)</f>
        <v>0</v>
      </c>
      <c r="AG35" s="53">
        <f>IF($E$18=1,1,0)</f>
        <v>1</v>
      </c>
      <c r="AH35" s="53">
        <f t="shared" si="6"/>
        <v>0</v>
      </c>
    </row>
    <row r="36" spans="3:34" ht="4.5" customHeight="1" thickBot="1" x14ac:dyDescent="0.25">
      <c r="D36" s="10"/>
      <c r="E36" s="66"/>
      <c r="F36" s="10"/>
      <c r="G36" s="69"/>
      <c r="H36" s="68"/>
      <c r="I36" s="68"/>
      <c r="J36" s="68"/>
      <c r="K36" t="str">
        <f t="shared" si="5"/>
        <v/>
      </c>
      <c r="O36" s="12"/>
      <c r="AE36" s="57"/>
      <c r="AF36" s="53"/>
      <c r="AG36" s="53"/>
      <c r="AH36" s="53">
        <f t="shared" si="6"/>
        <v>0</v>
      </c>
    </row>
    <row r="37" spans="3:34" ht="12.75" customHeight="1" x14ac:dyDescent="0.2">
      <c r="D37" s="344" t="s">
        <v>128</v>
      </c>
      <c r="E37" s="335" t="s">
        <v>77</v>
      </c>
      <c r="F37" s="338" t="s">
        <v>44</v>
      </c>
      <c r="G37" s="54">
        <v>1</v>
      </c>
      <c r="H37" s="55">
        <f>AU10</f>
        <v>0.2253758063745602</v>
      </c>
      <c r="I37" s="55">
        <f>BD10</f>
        <v>1.2219936541176559E-2</v>
      </c>
      <c r="J37" s="56">
        <f>SQRT(I37)</f>
        <v>0.1105438218136887</v>
      </c>
      <c r="K37" t="str">
        <f t="shared" si="5"/>
        <v/>
      </c>
      <c r="O37" s="12"/>
      <c r="AE37" s="57">
        <f>AF37*AG37*$I$18</f>
        <v>0</v>
      </c>
      <c r="AF37" s="53">
        <f>IF($E$17=1,1,0)</f>
        <v>0</v>
      </c>
      <c r="AG37" s="53">
        <v>1</v>
      </c>
      <c r="AH37" s="53">
        <f t="shared" si="6"/>
        <v>0</v>
      </c>
    </row>
    <row r="38" spans="3:34" x14ac:dyDescent="0.2">
      <c r="D38" s="348"/>
      <c r="E38" s="336"/>
      <c r="F38" s="339"/>
      <c r="G38" s="58">
        <v>2</v>
      </c>
      <c r="H38" s="59">
        <f>AU11</f>
        <v>0.29434132361593951</v>
      </c>
      <c r="I38" s="59">
        <f>BD11</f>
        <v>1.3362107456775846E-2</v>
      </c>
      <c r="J38" s="60">
        <f>SQRT(I38)</f>
        <v>0.11559458229854826</v>
      </c>
      <c r="K38" t="str">
        <f t="shared" si="5"/>
        <v/>
      </c>
      <c r="AE38" s="57">
        <f>AF38*AG38*$I$18</f>
        <v>0</v>
      </c>
      <c r="AF38" s="53">
        <f>IF($E$17=1,1,0)</f>
        <v>0</v>
      </c>
      <c r="AG38" s="53">
        <v>1</v>
      </c>
      <c r="AH38" s="53">
        <f t="shared" si="6"/>
        <v>0</v>
      </c>
    </row>
    <row r="39" spans="3:34" x14ac:dyDescent="0.2">
      <c r="D39" s="348"/>
      <c r="E39" s="336"/>
      <c r="F39" s="339" t="s">
        <v>45</v>
      </c>
      <c r="G39" s="58">
        <v>1</v>
      </c>
      <c r="H39" s="59">
        <f>AU10</f>
        <v>0.2253758063745602</v>
      </c>
      <c r="I39" s="59">
        <f>BE10</f>
        <v>7.4959769643627126E-3</v>
      </c>
      <c r="J39" s="60">
        <f>SQRT(I39)</f>
        <v>8.6579310255757477E-2</v>
      </c>
      <c r="K39" t="str">
        <f t="shared" si="5"/>
        <v/>
      </c>
      <c r="AE39" s="57">
        <f>AF39*AG39*$I$18</f>
        <v>1</v>
      </c>
      <c r="AF39" s="53">
        <f>IF($E$17=1,0,1)</f>
        <v>1</v>
      </c>
      <c r="AG39" s="53">
        <v>1</v>
      </c>
      <c r="AH39" s="53">
        <f t="shared" si="6"/>
        <v>0</v>
      </c>
    </row>
    <row r="40" spans="3:34" ht="13.5" thickBot="1" x14ac:dyDescent="0.25">
      <c r="D40" s="349"/>
      <c r="E40" s="337"/>
      <c r="F40" s="340"/>
      <c r="G40" s="62">
        <v>2</v>
      </c>
      <c r="H40" s="64">
        <f>AU11</f>
        <v>0.29434132361593951</v>
      </c>
      <c r="I40" s="64">
        <f>BE11</f>
        <v>8.2399607379121092E-3</v>
      </c>
      <c r="J40" s="65">
        <f>SQRT(I40)</f>
        <v>9.0774229481236077E-2</v>
      </c>
      <c r="K40" t="str">
        <f t="shared" si="5"/>
        <v/>
      </c>
      <c r="AE40" s="57">
        <f>AF40*AG40*$I$18</f>
        <v>1</v>
      </c>
      <c r="AF40" s="53">
        <f>IF($E$17=1,0,1)</f>
        <v>1</v>
      </c>
      <c r="AG40" s="53">
        <v>1</v>
      </c>
      <c r="AH40" s="53">
        <f t="shared" si="6"/>
        <v>0</v>
      </c>
    </row>
    <row r="41" spans="3:34" ht="4.5" customHeight="1" thickBot="1" x14ac:dyDescent="0.25">
      <c r="D41" s="10"/>
      <c r="E41" s="10"/>
      <c r="F41" s="10"/>
      <c r="G41" s="69"/>
      <c r="H41" s="68"/>
      <c r="I41" s="68"/>
      <c r="J41" s="68"/>
      <c r="K41" t="str">
        <f t="shared" si="5"/>
        <v/>
      </c>
      <c r="AE41" s="57"/>
      <c r="AF41" s="53"/>
      <c r="AG41" s="53"/>
      <c r="AH41" s="53">
        <f t="shared" si="6"/>
        <v>0</v>
      </c>
    </row>
    <row r="42" spans="3:34" ht="12.75" customHeight="1" x14ac:dyDescent="0.2">
      <c r="D42" s="344" t="s">
        <v>129</v>
      </c>
      <c r="E42" s="346" t="s">
        <v>79</v>
      </c>
      <c r="F42" s="338" t="s">
        <v>44</v>
      </c>
      <c r="G42" s="54">
        <v>1</v>
      </c>
      <c r="H42" s="55">
        <f>AV10</f>
        <v>0.48414062110090711</v>
      </c>
      <c r="I42" s="55">
        <f>BF10</f>
        <v>3.5656557159072573E-2</v>
      </c>
      <c r="J42" s="56">
        <f>SQRT(I42)</f>
        <v>0.18882943933368168</v>
      </c>
      <c r="K42" t="str">
        <f t="shared" si="5"/>
        <v/>
      </c>
      <c r="AE42" s="57">
        <f>AF42*AG42*$I$18</f>
        <v>0</v>
      </c>
      <c r="AF42" s="53">
        <f>IF($E$17=1,1,0)</f>
        <v>0</v>
      </c>
      <c r="AG42" s="53">
        <f>IF($E$18=1,0,1)</f>
        <v>0</v>
      </c>
      <c r="AH42" s="53">
        <f t="shared" si="6"/>
        <v>0</v>
      </c>
    </row>
    <row r="43" spans="3:34" ht="13.5" thickBot="1" x14ac:dyDescent="0.25">
      <c r="D43" s="345"/>
      <c r="E43" s="347"/>
      <c r="F43" s="340"/>
      <c r="G43" s="62">
        <v>2</v>
      </c>
      <c r="H43" s="64">
        <f>AV11</f>
        <v>0.55070312160401591</v>
      </c>
      <c r="I43" s="64">
        <f>BF11</f>
        <v>2.7516475198747534E-2</v>
      </c>
      <c r="J43" s="65">
        <f>SQRT(I43)</f>
        <v>0.16588090667327429</v>
      </c>
      <c r="K43" t="str">
        <f t="shared" si="5"/>
        <v/>
      </c>
      <c r="AE43" s="57">
        <f>AF43*AG43*$I$18</f>
        <v>0</v>
      </c>
      <c r="AF43" s="53">
        <f>IF($E$17=1,1,0)</f>
        <v>0</v>
      </c>
      <c r="AG43" s="53">
        <f>IF($E$18=1,0,1)</f>
        <v>0</v>
      </c>
      <c r="AH43" s="53">
        <f t="shared" si="6"/>
        <v>0</v>
      </c>
    </row>
    <row r="44" spans="3:34" ht="3.75" customHeight="1" thickBot="1" x14ac:dyDescent="0.25">
      <c r="D44" s="10"/>
      <c r="E44" s="10"/>
      <c r="F44" s="10"/>
      <c r="G44" s="69"/>
      <c r="H44" s="68"/>
      <c r="I44" s="68"/>
      <c r="J44" s="68"/>
      <c r="K44" t="str">
        <f t="shared" si="5"/>
        <v/>
      </c>
      <c r="AE44" s="57"/>
      <c r="AF44" s="53"/>
      <c r="AG44" s="53">
        <f>IF($E$18=1,1,0)</f>
        <v>1</v>
      </c>
      <c r="AH44" s="53">
        <f t="shared" si="6"/>
        <v>0</v>
      </c>
    </row>
    <row r="45" spans="3:34" x14ac:dyDescent="0.2">
      <c r="D45" s="344" t="s">
        <v>76</v>
      </c>
      <c r="E45" s="335" t="s">
        <v>77</v>
      </c>
      <c r="F45" s="71" t="s">
        <v>44</v>
      </c>
      <c r="G45" s="54" t="s">
        <v>46</v>
      </c>
      <c r="H45" s="55">
        <f>AW10</f>
        <v>0.51971712999049979</v>
      </c>
      <c r="I45" s="55">
        <f>BG10</f>
        <v>2.5168762234290959E-2</v>
      </c>
      <c r="J45" s="56">
        <f>SQRT(I45)</f>
        <v>0.15864665844035594</v>
      </c>
      <c r="K45" t="str">
        <f t="shared" si="5"/>
        <v/>
      </c>
      <c r="AE45" s="57">
        <f>AF45*AG45*$I$18</f>
        <v>0</v>
      </c>
      <c r="AF45" s="53">
        <f>IF($E$17=1,1,0)</f>
        <v>0</v>
      </c>
      <c r="AG45" s="53">
        <v>1</v>
      </c>
      <c r="AH45" s="53">
        <f t="shared" si="6"/>
        <v>0</v>
      </c>
    </row>
    <row r="46" spans="3:34" ht="13.5" customHeight="1" thickBot="1" x14ac:dyDescent="0.25">
      <c r="D46" s="345"/>
      <c r="E46" s="337"/>
      <c r="F46" s="70" t="s">
        <v>45</v>
      </c>
      <c r="G46" s="62" t="s">
        <v>46</v>
      </c>
      <c r="H46" s="64">
        <f>H45</f>
        <v>0.51971712999049979</v>
      </c>
      <c r="I46" s="64">
        <f>BH10</f>
        <v>2.5160707381134295E-2</v>
      </c>
      <c r="J46" s="65">
        <f>SQRT(I46)</f>
        <v>0.15862127026705558</v>
      </c>
      <c r="K46" t="str">
        <f t="shared" si="5"/>
        <v/>
      </c>
      <c r="AE46" s="57">
        <f>AF46*AG46*$I$18</f>
        <v>1</v>
      </c>
      <c r="AF46" s="53">
        <f>IF($E$17=1,0,1)</f>
        <v>1</v>
      </c>
      <c r="AG46" s="53">
        <v>1</v>
      </c>
      <c r="AH46" s="53">
        <f t="shared" si="6"/>
        <v>0</v>
      </c>
    </row>
    <row r="47" spans="3:34" x14ac:dyDescent="0.2">
      <c r="AE47" s="53"/>
      <c r="AF47" s="53"/>
      <c r="AG47" s="53"/>
      <c r="AH47" s="53"/>
    </row>
    <row r="48" spans="3:34" x14ac:dyDescent="0.2">
      <c r="C48" t="s">
        <v>85</v>
      </c>
    </row>
    <row r="49" spans="8:34" x14ac:dyDescent="0.2">
      <c r="K49" s="53"/>
      <c r="L49" s="53"/>
      <c r="M49" s="53"/>
      <c r="N49" s="53"/>
      <c r="AE49" s="53"/>
      <c r="AF49" s="53"/>
      <c r="AG49" s="53"/>
      <c r="AH49" s="53"/>
    </row>
    <row r="50" spans="8:34" x14ac:dyDescent="0.2">
      <c r="H50" s="72"/>
      <c r="K50" s="53"/>
      <c r="L50" s="53"/>
      <c r="M50" s="53"/>
      <c r="N50" s="53"/>
    </row>
    <row r="51" spans="8:34" x14ac:dyDescent="0.2">
      <c r="K51" s="53"/>
      <c r="L51" s="53"/>
      <c r="M51" s="53"/>
      <c r="N51" s="53"/>
    </row>
  </sheetData>
  <sheetProtection formatCells="0"/>
  <mergeCells count="17">
    <mergeCell ref="E34:E35"/>
    <mergeCell ref="F34:F35"/>
    <mergeCell ref="D34:D35"/>
    <mergeCell ref="F37:F38"/>
    <mergeCell ref="D45:D46"/>
    <mergeCell ref="E45:E46"/>
    <mergeCell ref="F39:F40"/>
    <mergeCell ref="E37:E40"/>
    <mergeCell ref="D37:D40"/>
    <mergeCell ref="F42:F43"/>
    <mergeCell ref="E42:E43"/>
    <mergeCell ref="D42:D43"/>
    <mergeCell ref="D29:D32"/>
    <mergeCell ref="BK7:BK9"/>
    <mergeCell ref="F29:F30"/>
    <mergeCell ref="F31:F32"/>
    <mergeCell ref="E29:E32"/>
  </mergeCells>
  <phoneticPr fontId="3" type="noConversion"/>
  <conditionalFormatting sqref="H29:H46 J29:J46">
    <cfRule type="expression" dxfId="4" priority="1" stopIfTrue="1">
      <formula>$AE29=1</formula>
    </cfRule>
  </conditionalFormatting>
  <conditionalFormatting sqref="F18 J18">
    <cfRule type="expression" dxfId="3" priority="2" stopIfTrue="1">
      <formula>AND(E18&lt;&gt;1,E18&lt;&gt;0)</formula>
    </cfRule>
  </conditionalFormatting>
  <conditionalFormatting sqref="F17">
    <cfRule type="expression" dxfId="2" priority="3" stopIfTrue="1">
      <formula>AND(E17&lt;&gt;1,E17&lt;&gt;2)</formula>
    </cfRule>
  </conditionalFormatting>
  <conditionalFormatting sqref="F19">
    <cfRule type="expression" dxfId="1" priority="4" stopIfTrue="1">
      <formula>OR(E19=1,AND(E19=0,G13&lt;&gt;1),AND(E19=0.5,G13=1))</formula>
    </cfRule>
  </conditionalFormatting>
  <conditionalFormatting sqref="J20:J21">
    <cfRule type="expression" dxfId="0" priority="5" stopIfTrue="1">
      <formula>AND(#REF!&lt;&gt;1,#REF!&lt;&gt;0)</formula>
    </cfRule>
  </conditionalFormatting>
  <hyperlinks>
    <hyperlink ref="N1" r:id="rId1" xr:uid="{00000000-0004-0000-0200-000000000000}"/>
    <hyperlink ref="N2" r:id="rId2" xr:uid="{00000000-0004-0000-0200-000001000000}"/>
  </hyperlinks>
  <pageMargins left="0.78740157480314965" right="0.78740157480314965" top="0.98425196850393704" bottom="0.98425196850393704" header="0" footer="0"/>
  <pageSetup paperSize="9" scale="84" orientation="portrait" r:id="rId3"/>
  <headerFooter alignWithMargins="0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Information</vt:lpstr>
      <vt:lpstr>Agreement in tables 2x2</vt:lpstr>
      <vt:lpstr>!</vt:lpstr>
      <vt:lpstr>'!'!Área_de_impresión</vt:lpstr>
    </vt:vector>
  </TitlesOfParts>
  <Company>Porto Alegre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Pedro Femia</cp:lastModifiedBy>
  <dcterms:created xsi:type="dcterms:W3CDTF">2011-08-01T11:26:39Z</dcterms:created>
  <dcterms:modified xsi:type="dcterms:W3CDTF">2022-06-26T15:20:08Z</dcterms:modified>
</cp:coreProperties>
</file>