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FTP 2023-2024\TC1\"/>
    </mc:Choice>
  </mc:AlternateContent>
  <xr:revisionPtr revIDLastSave="0" documentId="8_{2F1300C1-5D43-46C4-9EB1-4086D01BCD77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ASIMETRIA" sheetId="1" r:id="rId1"/>
    <sheet name="APUNTAMIENTO" sheetId="2" r:id="rId2"/>
    <sheet name="CONCENTRACION" sheetId="3" r:id="rId3"/>
    <sheet name="ORIGEN Y ESCALA" sheetId="4" r:id="rId4"/>
    <sheet name="INTERPOLACION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4" l="1"/>
  <c r="G10" i="5"/>
  <c r="G11" i="5" s="1"/>
  <c r="G12" i="5" s="1"/>
  <c r="G13" i="5" s="1"/>
  <c r="G14" i="5" s="1"/>
  <c r="G15" i="5" s="1"/>
  <c r="G16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10" i="5"/>
  <c r="F10" i="5" s="1"/>
  <c r="H10" i="5" s="1"/>
  <c r="H11" i="5" l="1"/>
  <c r="H12" i="5"/>
  <c r="H13" i="5" s="1"/>
  <c r="H14" i="5" s="1"/>
  <c r="H15" i="5" s="1"/>
  <c r="H16" i="5" s="1"/>
  <c r="G17" i="5"/>
  <c r="C8" i="2"/>
  <c r="D8" i="2" s="1"/>
  <c r="C6" i="2"/>
  <c r="D6" i="2" s="1"/>
  <c r="C9" i="2"/>
  <c r="D9" i="2" s="1"/>
  <c r="C5" i="2"/>
  <c r="D5" i="2" s="1"/>
  <c r="C7" i="2"/>
  <c r="D7" i="2" s="1"/>
  <c r="C10" i="2"/>
  <c r="D10" i="2" s="1"/>
  <c r="C4" i="2"/>
  <c r="J1" i="2"/>
  <c r="C8" i="1"/>
  <c r="C7" i="1"/>
  <c r="B7" i="1"/>
  <c r="B8" i="1"/>
  <c r="C12" i="1"/>
  <c r="B12" i="1"/>
  <c r="C16" i="1"/>
  <c r="B16" i="1"/>
  <c r="C15" i="1"/>
  <c r="B15" i="1"/>
  <c r="C14" i="1"/>
  <c r="B14" i="1"/>
  <c r="C13" i="1"/>
  <c r="B13" i="1"/>
  <c r="C6" i="1"/>
  <c r="B6" i="1"/>
  <c r="C5" i="1"/>
  <c r="B5" i="1"/>
  <c r="C4" i="1"/>
  <c r="H4" i="1" s="1"/>
  <c r="B4" i="1"/>
  <c r="L1" i="1"/>
  <c r="I23" i="5"/>
  <c r="O8" i="5"/>
  <c r="N8" i="5"/>
  <c r="C9" i="5"/>
  <c r="O9" i="5" s="1"/>
  <c r="D20" i="5"/>
  <c r="F20" i="5"/>
  <c r="C16" i="3"/>
  <c r="C15" i="3"/>
  <c r="B16" i="3" s="1"/>
  <c r="C14" i="3"/>
  <c r="B15" i="3" s="1"/>
  <c r="C13" i="3"/>
  <c r="B14" i="3" s="1"/>
  <c r="C12" i="3"/>
  <c r="B13" i="3" s="1"/>
  <c r="C11" i="3"/>
  <c r="B12" i="3" s="1"/>
  <c r="C10" i="3"/>
  <c r="B11" i="3" s="1"/>
  <c r="C9" i="3"/>
  <c r="B10" i="3" s="1"/>
  <c r="C8" i="3"/>
  <c r="B9" i="3" s="1"/>
  <c r="C7" i="3"/>
  <c r="B8" i="3" s="1"/>
  <c r="C6" i="3"/>
  <c r="B7" i="3" s="1"/>
  <c r="C5" i="3"/>
  <c r="B6" i="3" s="1"/>
  <c r="D16" i="4"/>
  <c r="D14" i="4"/>
  <c r="D15" i="4"/>
  <c r="D17" i="4"/>
  <c r="D13" i="4"/>
  <c r="F6" i="4"/>
  <c r="P6" i="4" s="1"/>
  <c r="F7" i="4"/>
  <c r="O7" i="4" s="1"/>
  <c r="F8" i="4"/>
  <c r="Q8" i="4" s="1"/>
  <c r="F9" i="4"/>
  <c r="F5" i="4"/>
  <c r="Q5" i="4" s="1"/>
  <c r="O9" i="4"/>
  <c r="O5" i="4"/>
  <c r="Q9" i="4"/>
  <c r="Q6" i="4"/>
  <c r="P9" i="4"/>
  <c r="D2" i="4"/>
  <c r="D10" i="4"/>
  <c r="L5" i="4"/>
  <c r="L6" i="4"/>
  <c r="R6" i="4" s="1"/>
  <c r="D1" i="4"/>
  <c r="D1" i="3"/>
  <c r="E8" i="4"/>
  <c r="U8" i="4" s="1"/>
  <c r="E6" i="4"/>
  <c r="U6" i="4"/>
  <c r="E7" i="4"/>
  <c r="U7" i="4" s="1"/>
  <c r="E9" i="4"/>
  <c r="U9" i="4"/>
  <c r="G6" i="4"/>
  <c r="G9" i="4"/>
  <c r="E5" i="4"/>
  <c r="U5" i="4"/>
  <c r="G5" i="4"/>
  <c r="G5" i="3"/>
  <c r="G6" i="3"/>
  <c r="E17" i="3"/>
  <c r="D9" i="1"/>
  <c r="D10" i="1"/>
  <c r="D11" i="1"/>
  <c r="G7" i="4"/>
  <c r="P7" i="4"/>
  <c r="P5" i="4"/>
  <c r="Q7" i="4"/>
  <c r="T6" i="4"/>
  <c r="T7" i="4"/>
  <c r="T9" i="4"/>
  <c r="T5" i="4"/>
  <c r="D9" i="3" l="1"/>
  <c r="F9" i="3" s="1"/>
  <c r="H24" i="4"/>
  <c r="G10" i="4"/>
  <c r="H26" i="4"/>
  <c r="U10" i="4"/>
  <c r="U11" i="4" s="1"/>
  <c r="H23" i="4" s="1"/>
  <c r="L7" i="4"/>
  <c r="R5" i="4"/>
  <c r="G7" i="3"/>
  <c r="S5" i="4"/>
  <c r="P8" i="4"/>
  <c r="H25" i="4" s="1"/>
  <c r="D10" i="3"/>
  <c r="F10" i="3" s="1"/>
  <c r="G8" i="4"/>
  <c r="O8" i="4"/>
  <c r="D18" i="4"/>
  <c r="L13" i="4" s="1"/>
  <c r="N9" i="5"/>
  <c r="S6" i="4"/>
  <c r="O6" i="4"/>
  <c r="D6" i="3"/>
  <c r="F6" i="3" s="1"/>
  <c r="T8" i="4"/>
  <c r="T10" i="4" s="1"/>
  <c r="T11" i="4" s="1"/>
  <c r="H22" i="4" s="1"/>
  <c r="H17" i="5"/>
  <c r="G18" i="5"/>
  <c r="D8" i="1"/>
  <c r="D14" i="3"/>
  <c r="F14" i="3" s="1"/>
  <c r="D11" i="3"/>
  <c r="F11" i="3" s="1"/>
  <c r="D13" i="3"/>
  <c r="F13" i="3" s="1"/>
  <c r="D7" i="3"/>
  <c r="F7" i="3" s="1"/>
  <c r="D15" i="3"/>
  <c r="F15" i="3" s="1"/>
  <c r="D16" i="3"/>
  <c r="F16" i="3" s="1"/>
  <c r="D8" i="3"/>
  <c r="F8" i="3" s="1"/>
  <c r="S1" i="3"/>
  <c r="D5" i="3"/>
  <c r="F5" i="3" s="1"/>
  <c r="D12" i="3"/>
  <c r="F12" i="3" s="1"/>
  <c r="B13" i="4"/>
  <c r="B14" i="4"/>
  <c r="C17" i="4"/>
  <c r="B17" i="4"/>
  <c r="C16" i="4"/>
  <c r="B16" i="4"/>
  <c r="C15" i="4"/>
  <c r="C14" i="4"/>
  <c r="B15" i="4"/>
  <c r="C13" i="4"/>
  <c r="C11" i="2"/>
  <c r="D4" i="2"/>
  <c r="D11" i="2" s="1"/>
  <c r="D15" i="1"/>
  <c r="D16" i="1"/>
  <c r="D7" i="1"/>
  <c r="D5" i="1"/>
  <c r="D6" i="1"/>
  <c r="D13" i="1"/>
  <c r="D14" i="1"/>
  <c r="J5" i="1"/>
  <c r="J11" i="1"/>
  <c r="J10" i="1"/>
  <c r="J9" i="1"/>
  <c r="D4" i="1"/>
  <c r="J16" i="1"/>
  <c r="J7" i="1"/>
  <c r="J4" i="1"/>
  <c r="C17" i="1"/>
  <c r="J6" i="1"/>
  <c r="J13" i="1"/>
  <c r="J15" i="1"/>
  <c r="J12" i="1"/>
  <c r="J14" i="1"/>
  <c r="J8" i="1"/>
  <c r="D12" i="1"/>
  <c r="I4" i="1"/>
  <c r="H5" i="1"/>
  <c r="E16" i="4" l="1"/>
  <c r="U16" i="4" s="1"/>
  <c r="S13" i="4"/>
  <c r="L14" i="4"/>
  <c r="L15" i="4" s="1"/>
  <c r="R13" i="4"/>
  <c r="L8" i="4"/>
  <c r="S7" i="4"/>
  <c r="R7" i="4"/>
  <c r="H21" i="4"/>
  <c r="M5" i="4"/>
  <c r="G8" i="3"/>
  <c r="G19" i="5"/>
  <c r="I19" i="5" s="1"/>
  <c r="H18" i="5"/>
  <c r="H5" i="3"/>
  <c r="F17" i="3"/>
  <c r="E14" i="4"/>
  <c r="T14" i="4" s="1"/>
  <c r="E17" i="4"/>
  <c r="U17" i="4" s="1"/>
  <c r="F13" i="4"/>
  <c r="F15" i="4"/>
  <c r="F17" i="4"/>
  <c r="F16" i="4"/>
  <c r="E15" i="4"/>
  <c r="F14" i="4"/>
  <c r="R14" i="4"/>
  <c r="S14" i="4"/>
  <c r="E13" i="4"/>
  <c r="D12" i="2"/>
  <c r="F10" i="2" s="1"/>
  <c r="D17" i="1"/>
  <c r="D18" i="1" s="1"/>
  <c r="F12" i="1" s="1"/>
  <c r="Q23" i="1"/>
  <c r="F14" i="1"/>
  <c r="I5" i="1"/>
  <c r="H6" i="1"/>
  <c r="T16" i="4" l="1"/>
  <c r="G16" i="4"/>
  <c r="I14" i="5"/>
  <c r="G9" i="3"/>
  <c r="N5" i="4"/>
  <c r="M6" i="4"/>
  <c r="S8" i="4"/>
  <c r="L9" i="4"/>
  <c r="R8" i="4"/>
  <c r="L10" i="4"/>
  <c r="H6" i="4"/>
  <c r="H5" i="4"/>
  <c r="H7" i="4"/>
  <c r="H9" i="4"/>
  <c r="H8" i="4"/>
  <c r="L16" i="4"/>
  <c r="S15" i="4"/>
  <c r="R15" i="4"/>
  <c r="I13" i="5"/>
  <c r="I12" i="5"/>
  <c r="I18" i="5"/>
  <c r="I16" i="5"/>
  <c r="I17" i="5"/>
  <c r="I15" i="5"/>
  <c r="I11" i="5"/>
  <c r="I10" i="5"/>
  <c r="H19" i="5"/>
  <c r="J12" i="5" s="1"/>
  <c r="F11" i="1"/>
  <c r="H6" i="3"/>
  <c r="J5" i="3"/>
  <c r="U14" i="4"/>
  <c r="G14" i="4"/>
  <c r="G17" i="4"/>
  <c r="T17" i="4"/>
  <c r="Q15" i="4"/>
  <c r="Q13" i="4"/>
  <c r="O13" i="4"/>
  <c r="O14" i="4"/>
  <c r="P14" i="4"/>
  <c r="Q14" i="4"/>
  <c r="P13" i="4"/>
  <c r="O16" i="4"/>
  <c r="P16" i="4"/>
  <c r="Q16" i="4"/>
  <c r="P17" i="4"/>
  <c r="O17" i="4"/>
  <c r="Q17" i="4"/>
  <c r="P15" i="4"/>
  <c r="U13" i="4"/>
  <c r="T13" i="4"/>
  <c r="G13" i="4"/>
  <c r="G15" i="4"/>
  <c r="U15" i="4"/>
  <c r="T15" i="4"/>
  <c r="O15" i="4"/>
  <c r="F8" i="2"/>
  <c r="E4" i="2"/>
  <c r="F4" i="2"/>
  <c r="E6" i="2"/>
  <c r="E7" i="2"/>
  <c r="F6" i="2"/>
  <c r="F5" i="2"/>
  <c r="E9" i="2"/>
  <c r="E10" i="2"/>
  <c r="E5" i="2"/>
  <c r="F9" i="2"/>
  <c r="E8" i="2"/>
  <c r="F7" i="2"/>
  <c r="F16" i="1"/>
  <c r="E16" i="1"/>
  <c r="F13" i="1"/>
  <c r="E11" i="1"/>
  <c r="E8" i="1"/>
  <c r="F15" i="1"/>
  <c r="E13" i="1"/>
  <c r="E14" i="1"/>
  <c r="E15" i="1"/>
  <c r="E9" i="1"/>
  <c r="E7" i="1"/>
  <c r="E12" i="1"/>
  <c r="F8" i="1"/>
  <c r="F5" i="1"/>
  <c r="F4" i="1"/>
  <c r="F6" i="1"/>
  <c r="E4" i="1"/>
  <c r="E6" i="1"/>
  <c r="E5" i="1"/>
  <c r="F9" i="1"/>
  <c r="E10" i="1"/>
  <c r="F10" i="1"/>
  <c r="F7" i="1"/>
  <c r="M23" i="1"/>
  <c r="I6" i="1"/>
  <c r="H7" i="1"/>
  <c r="M7" i="4" l="1"/>
  <c r="N6" i="4"/>
  <c r="G10" i="3"/>
  <c r="R16" i="4"/>
  <c r="L17" i="4"/>
  <c r="S16" i="4"/>
  <c r="S9" i="4"/>
  <c r="R9" i="4"/>
  <c r="H27" i="4" s="1"/>
  <c r="K8" i="4"/>
  <c r="I8" i="4"/>
  <c r="J8" i="4"/>
  <c r="H28" i="4"/>
  <c r="J9" i="4"/>
  <c r="I9" i="4"/>
  <c r="K9" i="4"/>
  <c r="L18" i="4"/>
  <c r="J5" i="4"/>
  <c r="K5" i="4"/>
  <c r="I5" i="4"/>
  <c r="I10" i="4" s="1"/>
  <c r="H30" i="4" s="1"/>
  <c r="H31" i="4" s="1"/>
  <c r="H34" i="4" s="1"/>
  <c r="K6" i="4"/>
  <c r="I6" i="4"/>
  <c r="J6" i="4"/>
  <c r="J7" i="4"/>
  <c r="K7" i="4"/>
  <c r="I7" i="4"/>
  <c r="O12" i="5"/>
  <c r="I20" i="5"/>
  <c r="J14" i="5"/>
  <c r="J16" i="5"/>
  <c r="N16" i="5" s="1"/>
  <c r="J13" i="5"/>
  <c r="O13" i="5" s="1"/>
  <c r="O16" i="5"/>
  <c r="J19" i="5"/>
  <c r="J11" i="5"/>
  <c r="J17" i="5"/>
  <c r="J15" i="5"/>
  <c r="J10" i="5"/>
  <c r="J18" i="5"/>
  <c r="N12" i="5"/>
  <c r="O14" i="5"/>
  <c r="N14" i="5"/>
  <c r="N13" i="5"/>
  <c r="L5" i="3"/>
  <c r="H7" i="3"/>
  <c r="J6" i="3"/>
  <c r="L6" i="3" s="1"/>
  <c r="I24" i="4"/>
  <c r="T18" i="4"/>
  <c r="T19" i="4" s="1"/>
  <c r="I22" i="4" s="1"/>
  <c r="U18" i="4"/>
  <c r="U19" i="4" s="1"/>
  <c r="I23" i="4" s="1"/>
  <c r="I26" i="4"/>
  <c r="I25" i="4"/>
  <c r="G18" i="4"/>
  <c r="I21" i="4" s="1"/>
  <c r="F11" i="2"/>
  <c r="F12" i="2" s="1"/>
  <c r="E11" i="2"/>
  <c r="E12" i="2" s="1"/>
  <c r="F17" i="1"/>
  <c r="F18" i="1" s="1"/>
  <c r="E17" i="1"/>
  <c r="E18" i="1" s="1"/>
  <c r="I7" i="1"/>
  <c r="H8" i="1"/>
  <c r="N18" i="5" l="1"/>
  <c r="O18" i="5"/>
  <c r="N15" i="5"/>
  <c r="O15" i="5"/>
  <c r="N17" i="5"/>
  <c r="O17" i="5"/>
  <c r="N19" i="5"/>
  <c r="O19" i="5"/>
  <c r="G11" i="3"/>
  <c r="K10" i="4"/>
  <c r="H33" i="4" s="1"/>
  <c r="H37" i="4" s="1"/>
  <c r="J10" i="4"/>
  <c r="H32" i="4" s="1"/>
  <c r="H36" i="4" s="1"/>
  <c r="N7" i="4"/>
  <c r="M8" i="4"/>
  <c r="S17" i="4"/>
  <c r="I28" i="4" s="1"/>
  <c r="R17" i="4"/>
  <c r="I27" i="4" s="1"/>
  <c r="O10" i="5"/>
  <c r="N10" i="5"/>
  <c r="J20" i="5"/>
  <c r="O11" i="5"/>
  <c r="N11" i="5"/>
  <c r="M3" i="1"/>
  <c r="J7" i="3"/>
  <c r="H8" i="3"/>
  <c r="H17" i="4"/>
  <c r="H14" i="4"/>
  <c r="H16" i="4"/>
  <c r="H15" i="4"/>
  <c r="H13" i="4"/>
  <c r="M13" i="4"/>
  <c r="K3" i="2"/>
  <c r="I8" i="1"/>
  <c r="H9" i="1"/>
  <c r="H45" i="5" l="1"/>
  <c r="I35" i="5"/>
  <c r="D45" i="5"/>
  <c r="E35" i="5"/>
  <c r="H42" i="5"/>
  <c r="C25" i="5"/>
  <c r="D42" i="5"/>
  <c r="C31" i="5"/>
  <c r="H29" i="4"/>
  <c r="M9" i="4"/>
  <c r="N9" i="4" s="1"/>
  <c r="N8" i="4"/>
  <c r="M10" i="4"/>
  <c r="H35" i="4" s="1"/>
  <c r="G12" i="3"/>
  <c r="N2" i="5"/>
  <c r="H9" i="3"/>
  <c r="J8" i="3"/>
  <c r="L8" i="3" s="1"/>
  <c r="L7" i="3"/>
  <c r="K16" i="4"/>
  <c r="I16" i="4"/>
  <c r="J16" i="4"/>
  <c r="K14" i="4"/>
  <c r="I14" i="4"/>
  <c r="J14" i="4"/>
  <c r="K17" i="4"/>
  <c r="J17" i="4"/>
  <c r="I17" i="4"/>
  <c r="I15" i="4"/>
  <c r="K15" i="4"/>
  <c r="J15" i="4"/>
  <c r="M14" i="4"/>
  <c r="N13" i="4"/>
  <c r="K13" i="4"/>
  <c r="I13" i="4"/>
  <c r="J13" i="4"/>
  <c r="I9" i="1"/>
  <c r="H10" i="1"/>
  <c r="F37" i="5" l="1"/>
  <c r="M31" i="5"/>
  <c r="F51" i="5"/>
  <c r="K31" i="5"/>
  <c r="C45" i="5"/>
  <c r="D35" i="5"/>
  <c r="F45" i="5"/>
  <c r="G35" i="5"/>
  <c r="F42" i="5"/>
  <c r="C28" i="5"/>
  <c r="C42" i="5"/>
  <c r="C23" i="5"/>
  <c r="G13" i="3"/>
  <c r="M29" i="5"/>
  <c r="K29" i="5"/>
  <c r="J9" i="3"/>
  <c r="H10" i="3"/>
  <c r="J18" i="4"/>
  <c r="I32" i="4" s="1"/>
  <c r="I18" i="4"/>
  <c r="I30" i="4" s="1"/>
  <c r="I31" i="4" s="1"/>
  <c r="I34" i="4" s="1"/>
  <c r="K18" i="4"/>
  <c r="I33" i="4" s="1"/>
  <c r="M15" i="4"/>
  <c r="N14" i="4"/>
  <c r="I10" i="1"/>
  <c r="H11" i="1"/>
  <c r="H12" i="1" s="1"/>
  <c r="E39" i="5" l="1"/>
  <c r="M32" i="5"/>
  <c r="E48" i="5"/>
  <c r="K32" i="5"/>
  <c r="G14" i="3"/>
  <c r="J7" i="5"/>
  <c r="J10" i="3"/>
  <c r="L10" i="3" s="1"/>
  <c r="H11" i="3"/>
  <c r="L9" i="3"/>
  <c r="I37" i="4"/>
  <c r="M16" i="4"/>
  <c r="N15" i="4"/>
  <c r="I36" i="4"/>
  <c r="H13" i="1"/>
  <c r="H14" i="1" s="1"/>
  <c r="I11" i="1"/>
  <c r="I12" i="1"/>
  <c r="G15" i="3" l="1"/>
  <c r="I13" i="1"/>
  <c r="H12" i="3"/>
  <c r="J11" i="3"/>
  <c r="M17" i="4"/>
  <c r="N17" i="4" s="1"/>
  <c r="N16" i="4"/>
  <c r="I14" i="1"/>
  <c r="H15" i="1"/>
  <c r="I15" i="3" l="1"/>
  <c r="G16" i="3"/>
  <c r="L11" i="3"/>
  <c r="J12" i="3"/>
  <c r="L12" i="3" s="1"/>
  <c r="H13" i="3"/>
  <c r="I29" i="4"/>
  <c r="M18" i="4"/>
  <c r="I35" i="4" s="1"/>
  <c r="H16" i="1"/>
  <c r="I16" i="1" s="1"/>
  <c r="I15" i="1"/>
  <c r="I5" i="3" l="1"/>
  <c r="I17" i="3" s="1"/>
  <c r="I16" i="3"/>
  <c r="I6" i="3"/>
  <c r="I7" i="3"/>
  <c r="I8" i="3"/>
  <c r="I9" i="3"/>
  <c r="I10" i="3"/>
  <c r="I11" i="3"/>
  <c r="I12" i="3"/>
  <c r="I13" i="3"/>
  <c r="I14" i="3"/>
  <c r="H14" i="3"/>
  <c r="J13" i="3"/>
  <c r="L13" i="3" s="1"/>
  <c r="O23" i="1"/>
  <c r="H15" i="3" l="1"/>
  <c r="J14" i="3"/>
  <c r="L14" i="3" s="1"/>
  <c r="J15" i="3" l="1"/>
  <c r="L15" i="3" s="1"/>
  <c r="H16" i="3"/>
  <c r="J16" i="3" l="1"/>
  <c r="H17" i="3"/>
  <c r="L16" i="3" l="1"/>
  <c r="Q1" i="3" s="1"/>
  <c r="J17" i="3"/>
  <c r="O1" i="3" s="1"/>
</calcChain>
</file>

<file path=xl/sharedStrings.xml><?xml version="1.0" encoding="utf-8"?>
<sst xmlns="http://schemas.openxmlformats.org/spreadsheetml/2006/main" count="65" uniqueCount="47">
  <si>
    <t>(xi-med)^3 ni</t>
  </si>
  <si>
    <t>SUMA:</t>
  </si>
  <si>
    <r>
      <t>SUMA/</t>
    </r>
    <r>
      <rPr>
        <i/>
        <sz val="14"/>
        <color indexed="8"/>
        <rFont val="Times New Roman"/>
        <family val="1"/>
      </rPr>
      <t>n</t>
    </r>
    <r>
      <rPr>
        <sz val="11"/>
        <color theme="1"/>
        <rFont val="Calibri"/>
        <family val="2"/>
        <scheme val="minor"/>
      </rPr>
      <t>:</t>
    </r>
  </si>
  <si>
    <t>e=</t>
  </si>
  <si>
    <t>c=</t>
  </si>
  <si>
    <t>VARIANZA:</t>
  </si>
  <si>
    <t>CURVA DE LORENZ</t>
  </si>
  <si>
    <t>COEFICIENTE DE ASIMETRÍA DE FISCHER:</t>
  </si>
  <si>
    <t>DESVIACIÓN TÍPICA:</t>
  </si>
  <si>
    <t>COEFICIENTE DE APUNTAMIENTO DE FISHER:</t>
  </si>
  <si>
    <t>MODA(I):</t>
  </si>
  <si>
    <t>MEDIALA</t>
  </si>
  <si>
    <r>
      <rPr>
        <i/>
        <sz val="14"/>
        <color indexed="8"/>
        <rFont val="Times New Roman"/>
        <family val="1"/>
      </rPr>
      <t>m</t>
    </r>
    <r>
      <rPr>
        <i/>
        <sz val="8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:</t>
    </r>
  </si>
  <si>
    <r>
      <rPr>
        <i/>
        <sz val="14"/>
        <color indexed="8"/>
        <rFont val="Times New Roman"/>
        <family val="1"/>
      </rPr>
      <t>m</t>
    </r>
    <r>
      <rPr>
        <i/>
        <sz val="8"/>
        <color indexed="8"/>
        <rFont val="Times New Roman"/>
        <family val="1"/>
      </rPr>
      <t>4</t>
    </r>
    <r>
      <rPr>
        <i/>
        <sz val="11"/>
        <color indexed="8"/>
        <rFont val="Times New Roman"/>
        <family val="1"/>
      </rPr>
      <t>:</t>
    </r>
  </si>
  <si>
    <t>Me</t>
  </si>
  <si>
    <t>Mo</t>
  </si>
  <si>
    <t>Ni</t>
  </si>
  <si>
    <t>MEDIANA</t>
  </si>
  <si>
    <t>MODA(I)</t>
  </si>
  <si>
    <t>MODA(II)</t>
  </si>
  <si>
    <t>MODA(III)</t>
  </si>
  <si>
    <r>
      <rPr>
        <i/>
        <sz val="12"/>
        <color indexed="8"/>
        <rFont val="Times New Roman"/>
        <family val="1"/>
      </rPr>
      <t>(Análogamente el resto de percentiles)</t>
    </r>
    <r>
      <rPr>
        <i/>
        <sz val="14"/>
        <color indexed="8"/>
        <rFont val="Times New Roman"/>
        <family val="1"/>
      </rPr>
      <t xml:space="preserve"> P</t>
    </r>
    <r>
      <rPr>
        <i/>
        <sz val="8"/>
        <color indexed="8"/>
        <rFont val="Times New Roman"/>
        <family val="1"/>
      </rPr>
      <t>35</t>
    </r>
    <r>
      <rPr>
        <i/>
        <sz val="14"/>
        <color indexed="8"/>
        <rFont val="Times New Roman"/>
        <family val="1"/>
      </rPr>
      <t>:</t>
    </r>
  </si>
  <si>
    <t>MEDIANA:</t>
  </si>
  <si>
    <t>MODA(II):</t>
  </si>
  <si>
    <t>MODA(III):</t>
  </si>
  <si>
    <t>P35</t>
  </si>
  <si>
    <t>* MEDIALA:</t>
  </si>
  <si>
    <t>* COEFICIENTE DE VARIACIÓN:</t>
  </si>
  <si>
    <t>* ÍNDICE DE GINI:</t>
  </si>
  <si>
    <t>Valor conocido:</t>
  </si>
  <si>
    <t>Valor estimado:</t>
  </si>
  <si>
    <t>=</t>
  </si>
  <si>
    <t>conocido</t>
  </si>
  <si>
    <t>estimado</t>
  </si>
  <si>
    <t>x=</t>
  </si>
  <si>
    <t>geometrica</t>
  </si>
  <si>
    <t>armónica</t>
  </si>
  <si>
    <t>MEDIA ARITMÉTICA:</t>
  </si>
  <si>
    <t>* MEDIA GEOMÉTRICA:</t>
  </si>
  <si>
    <t>* MEDIA ARMÓNICA:</t>
  </si>
  <si>
    <t>¿CÓMO AFECTAN LOS CAMBIOS DE ORIGEN Y/O ESCALA EN LOS DEMÁS CASOS?</t>
  </si>
  <si>
    <t>* NO HAY NINGUNA EXPRESIÓN QUE RELACIONE SUS VALORES CUANDO HACEMOS UN CAMBIO DE ORIGEN.</t>
  </si>
  <si>
    <t xml:space="preserve">SÍ LES AFECTA EL CAMBIO DE ESCALA. </t>
  </si>
  <si>
    <t xml:space="preserve">SÍ LES AFECTA EL CAMBIO DE ORIGEN. </t>
  </si>
  <si>
    <t>NO LES AFECTA EL CAMBIO DE ORIGEN.</t>
  </si>
  <si>
    <t xml:space="preserve">NO LES AFECTA EL CAMBIO DE ESCALA. </t>
  </si>
  <si>
    <t>SÍ LES AFECTA EL CAMBIO DE ORIGEN.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</si>
</sst>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25" x14ac:knownFonts="1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Cambria Math"/>
      <family val="1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2" fontId="0" fillId="0" borderId="3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164" fontId="0" fillId="3" borderId="3" xfId="0" applyNumberFormat="1" applyFill="1" applyBorder="1" applyAlignment="1" applyProtection="1">
      <alignment horizontal="right" vertical="center"/>
      <protection hidden="1"/>
    </xf>
    <xf numFmtId="164" fontId="0" fillId="4" borderId="3" xfId="0" applyNumberFormat="1" applyFill="1" applyBorder="1" applyAlignment="1" applyProtection="1">
      <alignment horizontal="right" vertical="center"/>
      <protection hidden="1"/>
    </xf>
    <xf numFmtId="164" fontId="0" fillId="5" borderId="3" xfId="0" applyNumberFormat="1" applyFill="1" applyBorder="1" applyAlignment="1" applyProtection="1">
      <alignment horizontal="right" vertical="center"/>
      <protection hidden="1"/>
    </xf>
    <xf numFmtId="0" fontId="0" fillId="0" borderId="0" xfId="0" applyProtection="1">
      <protection locked="0" hidden="1"/>
    </xf>
    <xf numFmtId="0" fontId="9" fillId="0" borderId="3" xfId="0" applyFont="1" applyBorder="1" applyProtection="1">
      <protection hidden="1"/>
    </xf>
    <xf numFmtId="164" fontId="10" fillId="0" borderId="0" xfId="0" applyNumberFormat="1" applyFont="1" applyAlignment="1" applyProtection="1">
      <alignment horizontal="left" vertical="center"/>
      <protection hidden="1"/>
    </xf>
    <xf numFmtId="0" fontId="11" fillId="0" borderId="3" xfId="0" applyFont="1" applyBorder="1" applyProtection="1">
      <protection hidden="1"/>
    </xf>
    <xf numFmtId="0" fontId="11" fillId="6" borderId="3" xfId="0" applyFont="1" applyFill="1" applyBorder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11" fillId="2" borderId="3" xfId="0" applyFont="1" applyFill="1" applyBorder="1" applyProtection="1">
      <protection hidden="1"/>
    </xf>
    <xf numFmtId="165" fontId="0" fillId="3" borderId="3" xfId="0" applyNumberFormat="1" applyFill="1" applyBorder="1" applyAlignment="1" applyProtection="1">
      <alignment horizontal="right" vertical="center"/>
      <protection hidden="1"/>
    </xf>
    <xf numFmtId="0" fontId="0" fillId="0" borderId="4" xfId="0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12" fillId="2" borderId="6" xfId="0" applyFont="1" applyFill="1" applyBorder="1" applyAlignment="1" applyProtection="1">
      <alignment horizontal="right" vertical="center"/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Protection="1"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12" fillId="2" borderId="8" xfId="0" applyFont="1" applyFill="1" applyBorder="1" applyAlignment="1" applyProtection="1">
      <alignment horizontal="right" vertical="center"/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2" fillId="3" borderId="6" xfId="0" applyFont="1" applyFill="1" applyBorder="1" applyAlignment="1" applyProtection="1">
      <alignment horizontal="right" vertical="center"/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Protection="1">
      <protection hidden="1"/>
    </xf>
    <xf numFmtId="0" fontId="12" fillId="3" borderId="0" xfId="0" applyFont="1" applyFill="1" applyAlignment="1" applyProtection="1">
      <alignment horizontal="right" vertical="center"/>
      <protection hidden="1"/>
    </xf>
    <xf numFmtId="0" fontId="13" fillId="3" borderId="0" xfId="0" applyFont="1" applyFill="1" applyAlignment="1" applyProtection="1">
      <alignment horizontal="right"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13" fillId="3" borderId="8" xfId="0" applyFont="1" applyFill="1" applyBorder="1" applyAlignment="1" applyProtection="1">
      <alignment horizontal="right" vertical="center"/>
      <protection hidden="1"/>
    </xf>
    <xf numFmtId="0" fontId="0" fillId="4" borderId="5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2" fillId="4" borderId="6" xfId="0" applyFont="1" applyFill="1" applyBorder="1" applyAlignment="1" applyProtection="1">
      <alignment horizontal="right" vertical="center"/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12" fillId="4" borderId="8" xfId="0" applyFont="1" applyFill="1" applyBorder="1" applyAlignment="1" applyProtection="1">
      <alignment horizontal="right" vertical="center"/>
      <protection hidden="1"/>
    </xf>
    <xf numFmtId="0" fontId="0" fillId="5" borderId="5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12" fillId="5" borderId="6" xfId="0" applyFont="1" applyFill="1" applyBorder="1" applyAlignment="1" applyProtection="1">
      <alignment horizontal="right" vertical="center"/>
      <protection hidden="1"/>
    </xf>
    <xf numFmtId="0" fontId="0" fillId="5" borderId="7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12" fillId="5" borderId="8" xfId="0" applyFont="1" applyFill="1" applyBorder="1" applyAlignment="1" applyProtection="1">
      <alignment horizontal="right" vertical="center"/>
      <protection hidden="1"/>
    </xf>
    <xf numFmtId="0" fontId="0" fillId="6" borderId="3" xfId="0" applyFill="1" applyBorder="1" applyProtection="1">
      <protection hidden="1"/>
    </xf>
    <xf numFmtId="2" fontId="0" fillId="6" borderId="3" xfId="0" applyNumberFormat="1" applyFill="1" applyBorder="1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left" vertical="center"/>
      <protection hidden="1"/>
    </xf>
    <xf numFmtId="1" fontId="0" fillId="0" borderId="3" xfId="0" applyNumberFormat="1" applyBorder="1" applyProtection="1"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165" fontId="0" fillId="2" borderId="3" xfId="0" applyNumberFormat="1" applyFill="1" applyBorder="1" applyAlignment="1" applyProtection="1">
      <alignment horizontal="right" vertical="center"/>
      <protection hidden="1"/>
    </xf>
    <xf numFmtId="1" fontId="0" fillId="0" borderId="0" xfId="0" applyNumberFormat="1" applyProtection="1">
      <protection hidden="1"/>
    </xf>
    <xf numFmtId="164" fontId="0" fillId="2" borderId="3" xfId="0" applyNumberFormat="1" applyFill="1" applyBorder="1" applyAlignment="1" applyProtection="1">
      <alignment horizontal="right" vertical="center"/>
      <protection hidden="1"/>
    </xf>
    <xf numFmtId="0" fontId="15" fillId="0" borderId="0" xfId="0" applyFon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3" borderId="0" xfId="0" applyFont="1" applyFill="1" applyProtection="1">
      <protection hidden="1"/>
    </xf>
    <xf numFmtId="0" fontId="6" fillId="4" borderId="6" xfId="0" applyFont="1" applyFill="1" applyBorder="1" applyProtection="1">
      <protection hidden="1"/>
    </xf>
    <xf numFmtId="0" fontId="6" fillId="4" borderId="8" xfId="0" applyFont="1" applyFill="1" applyBorder="1" applyProtection="1">
      <protection hidden="1"/>
    </xf>
    <xf numFmtId="0" fontId="6" fillId="5" borderId="6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Alignment="1" applyProtection="1">
      <alignment horizontal="left" vertic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protection locked="0"/>
    </xf>
    <xf numFmtId="0" fontId="11" fillId="7" borderId="3" xfId="0" applyFont="1" applyFill="1" applyBorder="1" applyProtection="1">
      <protection hidden="1"/>
    </xf>
    <xf numFmtId="0" fontId="0" fillId="7" borderId="3" xfId="0" applyFill="1" applyBorder="1" applyProtection="1">
      <protection hidden="1"/>
    </xf>
    <xf numFmtId="2" fontId="0" fillId="7" borderId="3" xfId="0" applyNumberFormat="1" applyFill="1" applyBorder="1" applyProtection="1"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0" fontId="6" fillId="2" borderId="13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6" fillId="3" borderId="9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vertical="center"/>
      <protection hidden="1"/>
    </xf>
    <xf numFmtId="0" fontId="6" fillId="3" borderId="12" xfId="0" applyFont="1" applyFill="1" applyBorder="1" applyAlignment="1" applyProtection="1">
      <alignment vertical="center"/>
      <protection hidden="1"/>
    </xf>
    <xf numFmtId="0" fontId="6" fillId="4" borderId="9" xfId="0" applyFont="1" applyFill="1" applyBorder="1" applyAlignment="1" applyProtection="1">
      <alignment vertical="center"/>
      <protection hidden="1"/>
    </xf>
    <xf numFmtId="0" fontId="6" fillId="4" borderId="12" xfId="0" applyFont="1" applyFill="1" applyBorder="1" applyAlignment="1" applyProtection="1">
      <alignment vertical="center"/>
      <protection hidden="1"/>
    </xf>
    <xf numFmtId="0" fontId="6" fillId="5" borderId="9" xfId="0" applyFont="1" applyFill="1" applyBorder="1" applyAlignment="1" applyProtection="1">
      <alignment vertical="center"/>
      <protection hidden="1"/>
    </xf>
    <xf numFmtId="0" fontId="6" fillId="5" borderId="12" xfId="0" applyFont="1" applyFill="1" applyBorder="1" applyAlignment="1" applyProtection="1">
      <alignment vertical="center"/>
      <protection hidden="1"/>
    </xf>
    <xf numFmtId="0" fontId="0" fillId="8" borderId="1" xfId="0" applyFill="1" applyBorder="1" applyAlignment="1" applyProtection="1">
      <alignment horizontal="center"/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hidden="1"/>
    </xf>
    <xf numFmtId="0" fontId="22" fillId="0" borderId="14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right"/>
      <protection hidden="1"/>
    </xf>
    <xf numFmtId="0" fontId="22" fillId="0" borderId="14" xfId="0" applyFont="1" applyBorder="1" applyAlignment="1" applyProtection="1">
      <alignment horizontal="right"/>
      <protection hidden="1"/>
    </xf>
    <xf numFmtId="164" fontId="6" fillId="0" borderId="3" xfId="0" applyNumberFormat="1" applyFont="1" applyBorder="1" applyProtection="1">
      <protection hidden="1"/>
    </xf>
    <xf numFmtId="164" fontId="0" fillId="0" borderId="0" xfId="0" applyNumberFormat="1" applyProtection="1">
      <protection hidden="1"/>
    </xf>
    <xf numFmtId="164" fontId="1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164" fontId="14" fillId="0" borderId="0" xfId="0" applyNumberFormat="1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2" fontId="19" fillId="7" borderId="0" xfId="0" applyNumberFormat="1" applyFont="1" applyFill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19" fillId="0" borderId="0" xfId="0" applyNumberFormat="1" applyFont="1" applyAlignment="1" applyProtection="1">
      <alignment horizontal="left" vertical="center"/>
      <protection hidden="1"/>
    </xf>
    <xf numFmtId="2" fontId="19" fillId="0" borderId="0" xfId="0" applyNumberFormat="1" applyFont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2" fontId="0" fillId="2" borderId="3" xfId="0" applyNumberFormat="1" applyFill="1" applyBorder="1" applyProtection="1">
      <protection hidden="1"/>
    </xf>
    <xf numFmtId="164" fontId="11" fillId="0" borderId="0" xfId="0" applyNumberFormat="1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87198897435116E-2"/>
          <c:y val="2.2415131992798421E-2"/>
          <c:w val="0.91802875991852373"/>
          <c:h val="0.867202302191564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0">
              <a:solidFill>
                <a:schemeClr val="tx1"/>
              </a:solidFill>
            </a:ln>
          </c:spPr>
          <c:invertIfNegative val="0"/>
          <c:cat>
            <c:numRef>
              <c:f>ASIMETRIA!$B$4:$B$16</c:f>
              <c:numCache>
                <c:formatCode>General</c:formatCode>
                <c:ptCount val="1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</c:numCache>
            </c:numRef>
          </c:cat>
          <c:val>
            <c:numRef>
              <c:f>ASIMETRIA!$C$4:$C$16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2-4387-927F-3E38F23D3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93842176"/>
        <c:axId val="156291840"/>
      </c:barChart>
      <c:catAx>
        <c:axId val="1938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291840"/>
        <c:crosses val="autoZero"/>
        <c:auto val="1"/>
        <c:lblAlgn val="ctr"/>
        <c:lblOffset val="100"/>
        <c:tickLblSkip val="1"/>
        <c:noMultiLvlLbl val="0"/>
      </c:catAx>
      <c:valAx>
        <c:axId val="15629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3842176"/>
        <c:crosses val="autoZero"/>
        <c:crossBetween val="between"/>
        <c:majorUnit val="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87198897435116E-2"/>
          <c:y val="2.2415131992798421E-2"/>
          <c:w val="0.94296979748697052"/>
          <c:h val="0.8672023021915649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0"/>
          </c:spPr>
          <c:invertIfNegative val="0"/>
          <c:cat>
            <c:numRef>
              <c:f>APUNTAMIENTO!$B$4:$B$10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cat>
          <c:val>
            <c:numRef>
              <c:f>APUNTAMIENTO!$C$4:$C$10</c:f>
              <c:numCache>
                <c:formatCode>General</c:formatCode>
                <c:ptCount val="7"/>
                <c:pt idx="0">
                  <c:v>5</c:v>
                </c:pt>
                <c:pt idx="1">
                  <c:v>13</c:v>
                </c:pt>
                <c:pt idx="2">
                  <c:v>34</c:v>
                </c:pt>
                <c:pt idx="3">
                  <c:v>55</c:v>
                </c:pt>
                <c:pt idx="4">
                  <c:v>34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A-468F-B20B-D763B2B75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249610624"/>
        <c:axId val="249612160"/>
      </c:barChart>
      <c:catAx>
        <c:axId val="24961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9612160"/>
        <c:crosses val="autoZero"/>
        <c:auto val="1"/>
        <c:lblAlgn val="ctr"/>
        <c:lblOffset val="100"/>
        <c:tickLblSkip val="1"/>
        <c:noMultiLvlLbl val="0"/>
      </c:catAx>
      <c:valAx>
        <c:axId val="249612160"/>
        <c:scaling>
          <c:orientation val="minMax"/>
          <c:max val="70"/>
        </c:scaling>
        <c:delete val="0"/>
        <c:axPos val="l"/>
        <c:numFmt formatCode="General" sourceLinked="1"/>
        <c:majorTickMark val="out"/>
        <c:minorTickMark val="none"/>
        <c:tickLblPos val="nextTo"/>
        <c:crossAx val="2496106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CONCENTRACION!$I$4:$I$16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</c:numCache>
            </c:numRef>
          </c:xVal>
          <c:yVal>
            <c:numRef>
              <c:f>CONCENTRACION!$J$4:$J$16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0.69444444444444442</c:v>
                </c:pt>
                <c:pt idx="2">
                  <c:v>2.7777777777777777</c:v>
                </c:pt>
                <c:pt idx="3">
                  <c:v>6.25</c:v>
                </c:pt>
                <c:pt idx="4">
                  <c:v>11.111111111111111</c:v>
                </c:pt>
                <c:pt idx="5">
                  <c:v>18.055555555555557</c:v>
                </c:pt>
                <c:pt idx="6">
                  <c:v>27.777777777777779</c:v>
                </c:pt>
                <c:pt idx="7">
                  <c:v>40.277777777777779</c:v>
                </c:pt>
                <c:pt idx="8">
                  <c:v>55.555555555555557</c:v>
                </c:pt>
                <c:pt idx="9">
                  <c:v>64.583333333333329</c:v>
                </c:pt>
                <c:pt idx="10">
                  <c:v>75</c:v>
                </c:pt>
                <c:pt idx="11">
                  <c:v>86.805555555555557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69-47AD-8ADD-D667CD113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587584"/>
        <c:axId val="249589120"/>
      </c:scatterChart>
      <c:valAx>
        <c:axId val="249587584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49589120"/>
        <c:crosses val="autoZero"/>
        <c:crossBetween val="midCat"/>
        <c:majorUnit val="10"/>
        <c:minorUnit val="10"/>
      </c:valAx>
      <c:valAx>
        <c:axId val="249589120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49587584"/>
        <c:crosses val="autoZero"/>
        <c:crossBetween val="midCat"/>
        <c:majorUnit val="10"/>
        <c:min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$J$1" max="4" page="10" val="0"/>
</file>

<file path=xl/ctrlProps/ctrlProp10.xml><?xml version="1.0" encoding="utf-8"?>
<formControlPr xmlns="http://schemas.microsoft.com/office/spreadsheetml/2009/9/main" objectType="Radio" firstButton="1" fmlaLink="$O$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Spin" dx="16" fmlaLink="$H$1" max="3" page="10" val="0"/>
</file>

<file path=xl/ctrlProps/ctrlProp3.xml><?xml version="1.0" encoding="utf-8"?>
<formControlPr xmlns="http://schemas.microsoft.com/office/spreadsheetml/2009/9/main" objectType="Spin" dx="16" fmlaLink="$L$1" max="10" min="2" page="10" val="3"/>
</file>

<file path=xl/ctrlProps/ctrlProp4.xml><?xml version="1.0" encoding="utf-8"?>
<formControlPr xmlns="http://schemas.microsoft.com/office/spreadsheetml/2009/9/main" objectType="Spin" dx="16" fmlaLink="$N$1" max="3" min="1" page="10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firstButton="1" fmlaLink="$N$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57150</xdr:rowOff>
    </xdr:from>
    <xdr:to>
      <xdr:col>16</xdr:col>
      <xdr:colOff>447675</xdr:colOff>
      <xdr:row>21</xdr:row>
      <xdr:rowOff>85725</xdr:rowOff>
    </xdr:to>
    <xdr:graphicFrame macro="">
      <xdr:nvGraphicFramePr>
        <xdr:cNvPr id="1076" name="1 Gráfico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83820</xdr:colOff>
          <xdr:row>0</xdr:row>
          <xdr:rowOff>38100</xdr:rowOff>
        </xdr:from>
        <xdr:to>
          <xdr:col>10</xdr:col>
          <xdr:colOff>381000</xdr:colOff>
          <xdr:row>1</xdr:row>
          <xdr:rowOff>152400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</xdr:col>
      <xdr:colOff>85724</xdr:colOff>
      <xdr:row>2</xdr:row>
      <xdr:rowOff>63327</xdr:rowOff>
    </xdr:from>
    <xdr:ext cx="609601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3 CuadroTexto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847724" y="444327"/>
              <a:ext cx="609601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" name="3 CuadroTexto"/>
            <xdr:cNvSpPr txBox="1"/>
          </xdr:nvSpPr>
          <xdr:spPr>
            <a:xfrm xmlns:a="http://schemas.openxmlformats.org/drawingml/2006/main">
              <a:off x="847724" y="444327"/>
              <a:ext cx="609601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2</xdr:col>
      <xdr:colOff>85725</xdr:colOff>
      <xdr:row>2</xdr:row>
      <xdr:rowOff>66675</xdr:rowOff>
    </xdr:from>
    <xdr:ext cx="609601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5 CuadroTexto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609725" y="447675"/>
              <a:ext cx="609601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6" name="5 CuadroTexto"/>
            <xdr:cNvSpPr txBox="1"/>
          </xdr:nvSpPr>
          <xdr:spPr>
            <a:xfrm xmlns:a="http://schemas.openxmlformats.org/drawingml/2006/main">
              <a:off x="1609725" y="447675"/>
              <a:ext cx="609601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3</xdr:col>
      <xdr:colOff>76200</xdr:colOff>
      <xdr:row>2</xdr:row>
      <xdr:rowOff>76200</xdr:rowOff>
    </xdr:from>
    <xdr:ext cx="609601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6 CuadroTexto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2362200" y="457200"/>
              <a:ext cx="609601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7" name="6 CuadroTexto"/>
            <xdr:cNvSpPr txBox="1"/>
          </xdr:nvSpPr>
          <xdr:spPr>
            <a:xfrm xmlns:a="http://schemas.openxmlformats.org/drawingml/2006/main">
              <a:off x="2362200" y="457200"/>
              <a:ext cx="609601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𝑥_𝑖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𝑛〗_𝑖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4</xdr:col>
      <xdr:colOff>19050</xdr:colOff>
      <xdr:row>2</xdr:row>
      <xdr:rowOff>68887</xdr:rowOff>
    </xdr:from>
    <xdr:ext cx="952500" cy="3070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7 CuadroTexto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2571750" y="449887"/>
              <a:ext cx="952500" cy="3070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acc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ES" sz="1400" b="0" i="1">
                            <a:latin typeface="Cambria Math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8" name="7 CuadroTexto"/>
            <xdr:cNvSpPr txBox="1"/>
          </xdr:nvSpPr>
          <xdr:spPr>
            <a:xfrm xmlns:a="http://schemas.openxmlformats.org/drawingml/2006/main">
              <a:off x="2571750" y="449887"/>
              <a:ext cx="952500" cy="307072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i="0">
                  <a:latin typeface="Cambria Math"/>
                </a:rPr>
                <a:t>〖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(𝑥〗_𝑖−𝑥 ̅)〗^</a:t>
              </a:r>
              <a:r>
                <a:rPr lang="es-ES" sz="1400" b="0" i="0">
                  <a:latin typeface="Cambria Math"/>
                </a:rPr>
                <a:t>2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𝑛〗_𝑖</a:t>
              </a:r>
              <a:endParaRPr lang="es-ES" sz="1400">
                <a:latin typeface="+mj-lt"/>
              </a:endParaRPr>
            </a:p>
          </xdr:txBody>
        </xdr:sp>
      </mc:Fallback>
    </mc:AlternateContent>
    <xdr:clientData/>
  </xdr:oneCellAnchor>
  <xdr:oneCellAnchor>
    <xdr:from>
      <xdr:col>5</xdr:col>
      <xdr:colOff>38100</xdr:colOff>
      <xdr:row>2</xdr:row>
      <xdr:rowOff>62052</xdr:rowOff>
    </xdr:from>
    <xdr:ext cx="952500" cy="3070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8 CuadroTexto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3571875" y="443052"/>
              <a:ext cx="952500" cy="3070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acc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ES" sz="1400" b="0" i="1">
                            <a:latin typeface="Cambria Math"/>
                          </a:rPr>
                          <m:t>3</m:t>
                        </m:r>
                      </m:sup>
                    </m:sSup>
                    <m:sSub>
                      <m:sSubPr>
                        <m:ctrlP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9" name="8 CuadroTexto"/>
            <xdr:cNvSpPr txBox="1"/>
          </xdr:nvSpPr>
          <xdr:spPr>
            <a:xfrm xmlns:a="http://schemas.openxmlformats.org/drawingml/2006/main">
              <a:off x="3571875" y="443052"/>
              <a:ext cx="952500" cy="307072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i="0">
                  <a:latin typeface="Cambria Math"/>
                </a:rPr>
                <a:t>〖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(𝑥〗_𝑖−𝑥 ̅)〗^</a:t>
              </a:r>
              <a:r>
                <a:rPr lang="es-ES" sz="1400" b="0" i="0">
                  <a:latin typeface="Cambria Math"/>
                </a:rPr>
                <a:t>3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𝑛〗_𝑖</a:t>
              </a:r>
              <a:endParaRPr lang="es-ES" sz="1400">
                <a:latin typeface="+mj-lt"/>
              </a:endParaRPr>
            </a:p>
          </xdr:txBody>
        </xdr:sp>
      </mc:Fallback>
    </mc:AlternateContent>
    <xdr:clientData/>
  </xdr:oneCellAnchor>
  <xdr:oneCellAnchor>
    <xdr:from>
      <xdr:col>10</xdr:col>
      <xdr:colOff>114300</xdr:colOff>
      <xdr:row>2</xdr:row>
      <xdr:rowOff>0</xdr:rowOff>
    </xdr:from>
    <xdr:ext cx="1200149" cy="440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4 CuadroText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4933950" y="381000"/>
              <a:ext cx="1200149" cy="440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right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𝑔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s-ES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s-E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400" b="0" i="1">
                                <a:latin typeface="Cambria Math"/>
                              </a:rPr>
                              <m:t>𝑆</m:t>
                            </m:r>
                          </m:e>
                          <m:sup>
                            <m:r>
                              <a:rPr lang="es-ES" sz="1400" b="0" i="1">
                                <a:latin typeface="Cambria Math"/>
                              </a:rPr>
                              <m:t>3</m:t>
                            </m:r>
                          </m:sup>
                        </m:sSup>
                      </m:den>
                    </m:f>
                    <m:r>
                      <a:rPr lang="es-ES" sz="14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5" name="4 CuadroTexto"/>
            <xdr:cNvSpPr txBox="1"/>
          </xdr:nvSpPr>
          <xdr:spPr>
            <a:xfrm xmlns:a="http://schemas.openxmlformats.org/drawingml/2006/main">
              <a:off x="4933950" y="381000"/>
              <a:ext cx="1200149" cy="440233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𝑔_1=𝑚_3/𝑆^3 =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11</xdr:col>
      <xdr:colOff>342901</xdr:colOff>
      <xdr:row>22</xdr:row>
      <xdr:rowOff>9525</xdr:rowOff>
    </xdr:from>
    <xdr:ext cx="47625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10 CuadroTexto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6410326" y="4619625"/>
              <a:ext cx="47625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</m:acc>
                    <m:r>
                      <a:rPr lang="es-ES" sz="14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1" name="10 CuadroTexto"/>
            <xdr:cNvSpPr txBox="1"/>
          </xdr:nvSpPr>
          <xdr:spPr>
            <a:xfrm xmlns:a="http://schemas.openxmlformats.org/drawingml/2006/main">
              <a:off x="6410326" y="4619625"/>
              <a:ext cx="476250" cy="264560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 ̅=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13</xdr:col>
      <xdr:colOff>219075</xdr:colOff>
      <xdr:row>22</xdr:row>
      <xdr:rowOff>0</xdr:rowOff>
    </xdr:from>
    <xdr:ext cx="6286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12 CuadroTexto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810500" y="4610100"/>
              <a:ext cx="6286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400" b="0" i="1">
                        <a:latin typeface="Cambria Math"/>
                      </a:rPr>
                      <m:t>𝑀𝑒</m:t>
                    </m:r>
                    <m:r>
                      <a:rPr lang="es-ES" sz="14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3" name="12 CuadroTexto"/>
            <xdr:cNvSpPr txBox="1"/>
          </xdr:nvSpPr>
          <xdr:spPr>
            <a:xfrm xmlns:a="http://schemas.openxmlformats.org/drawingml/2006/main">
              <a:off x="7810500" y="4610100"/>
              <a:ext cx="6286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𝑀𝑒=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15</xdr:col>
      <xdr:colOff>219076</xdr:colOff>
      <xdr:row>22</xdr:row>
      <xdr:rowOff>0</xdr:rowOff>
    </xdr:from>
    <xdr:ext cx="6286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13 CuadroTexto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9334501" y="4610100"/>
              <a:ext cx="6286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400" b="0" i="1">
                        <a:latin typeface="Cambria Math"/>
                      </a:rPr>
                      <m:t>𝑀𝑜</m:t>
                    </m:r>
                    <m:r>
                      <a:rPr lang="es-ES" sz="14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4" name="13 CuadroTexto"/>
            <xdr:cNvSpPr txBox="1"/>
          </xdr:nvSpPr>
          <xdr:spPr>
            <a:xfrm xmlns:a="http://schemas.openxmlformats.org/drawingml/2006/main">
              <a:off x="9334501" y="4610100"/>
              <a:ext cx="6286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𝑀𝑜=</a:t>
              </a:r>
              <a:endParaRPr lang="es-ES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3</xdr:row>
      <xdr:rowOff>9525</xdr:rowOff>
    </xdr:from>
    <xdr:to>
      <xdr:col>16</xdr:col>
      <xdr:colOff>752475</xdr:colOff>
      <xdr:row>16</xdr:row>
      <xdr:rowOff>28575</xdr:rowOff>
    </xdr:to>
    <xdr:graphicFrame macro="">
      <xdr:nvGraphicFramePr>
        <xdr:cNvPr id="2090" name="1 Gráfico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83820</xdr:colOff>
          <xdr:row>0</xdr:row>
          <xdr:rowOff>38100</xdr:rowOff>
        </xdr:from>
        <xdr:to>
          <xdr:col>8</xdr:col>
          <xdr:colOff>381000</xdr:colOff>
          <xdr:row>1</xdr:row>
          <xdr:rowOff>152400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</xdr:col>
      <xdr:colOff>85724</xdr:colOff>
      <xdr:row>2</xdr:row>
      <xdr:rowOff>63327</xdr:rowOff>
    </xdr:from>
    <xdr:ext cx="609601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3 CuadroTexto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352424" y="444327"/>
              <a:ext cx="609601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" name="3 CuadroTexto"/>
            <xdr:cNvSpPr txBox="1"/>
          </xdr:nvSpPr>
          <xdr:spPr>
            <a:xfrm xmlns:a="http://schemas.openxmlformats.org/drawingml/2006/main">
              <a:off x="352424" y="444327"/>
              <a:ext cx="609601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2</xdr:col>
      <xdr:colOff>85725</xdr:colOff>
      <xdr:row>2</xdr:row>
      <xdr:rowOff>66675</xdr:rowOff>
    </xdr:from>
    <xdr:ext cx="609601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4 CuadroTexto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1114425" y="447675"/>
              <a:ext cx="609601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5" name="4 CuadroTexto"/>
            <xdr:cNvSpPr txBox="1"/>
          </xdr:nvSpPr>
          <xdr:spPr>
            <a:xfrm xmlns:a="http://schemas.openxmlformats.org/drawingml/2006/main">
              <a:off x="1114425" y="447675"/>
              <a:ext cx="609601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3</xdr:col>
      <xdr:colOff>76200</xdr:colOff>
      <xdr:row>2</xdr:row>
      <xdr:rowOff>76200</xdr:rowOff>
    </xdr:from>
    <xdr:ext cx="609601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5 CuadroTexto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1866900" y="457200"/>
              <a:ext cx="609601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6" name="5 CuadroTexto"/>
            <xdr:cNvSpPr txBox="1"/>
          </xdr:nvSpPr>
          <xdr:spPr>
            <a:xfrm xmlns:a="http://schemas.openxmlformats.org/drawingml/2006/main">
              <a:off x="1866900" y="457200"/>
              <a:ext cx="609601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𝑥_𝑖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𝑛〗_𝑖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4</xdr:col>
      <xdr:colOff>19050</xdr:colOff>
      <xdr:row>2</xdr:row>
      <xdr:rowOff>68887</xdr:rowOff>
    </xdr:from>
    <xdr:ext cx="952500" cy="3070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6 CuadroTexto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2571750" y="449887"/>
              <a:ext cx="952500" cy="3070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acc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ES" sz="1400" b="0" i="1">
                            <a:latin typeface="Cambria Math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7" name="6 CuadroTexto"/>
            <xdr:cNvSpPr txBox="1"/>
          </xdr:nvSpPr>
          <xdr:spPr>
            <a:xfrm xmlns:a="http://schemas.openxmlformats.org/drawingml/2006/main">
              <a:off x="2571750" y="449887"/>
              <a:ext cx="952500" cy="307072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i="0">
                  <a:latin typeface="Cambria Math"/>
                </a:rPr>
                <a:t>〖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(𝑥〗_𝑖−𝑥 ̅)〗^</a:t>
              </a:r>
              <a:r>
                <a:rPr lang="es-ES" sz="1400" b="0" i="0">
                  <a:latin typeface="Cambria Math"/>
                </a:rPr>
                <a:t>2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𝑛〗_𝑖</a:t>
              </a:r>
              <a:endParaRPr lang="es-ES" sz="1400">
                <a:latin typeface="+mj-lt"/>
              </a:endParaRPr>
            </a:p>
          </xdr:txBody>
        </xdr:sp>
      </mc:Fallback>
    </mc:AlternateContent>
    <xdr:clientData/>
  </xdr:oneCellAnchor>
  <xdr:oneCellAnchor>
    <xdr:from>
      <xdr:col>5</xdr:col>
      <xdr:colOff>38100</xdr:colOff>
      <xdr:row>2</xdr:row>
      <xdr:rowOff>62501</xdr:rowOff>
    </xdr:from>
    <xdr:ext cx="952500" cy="3061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7 CuadroTexto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3571875" y="443501"/>
              <a:ext cx="952500" cy="3061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acc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ES" sz="1400" b="0" i="1">
                            <a:latin typeface="Cambria Math"/>
                          </a:rPr>
                          <m:t>4</m:t>
                        </m:r>
                      </m:sup>
                    </m:sSup>
                    <m:sSub>
                      <m:sSubPr>
                        <m:ctrlPr>
                          <a:rPr lang="es-ES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8" name="7 CuadroTexto"/>
            <xdr:cNvSpPr txBox="1"/>
          </xdr:nvSpPr>
          <xdr:spPr>
            <a:xfrm xmlns:a="http://schemas.openxmlformats.org/drawingml/2006/main">
              <a:off x="3571875" y="443501"/>
              <a:ext cx="952500" cy="306174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i="0">
                  <a:latin typeface="Cambria Math"/>
                </a:rPr>
                <a:t>〖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(𝑥〗_𝑖−𝑥 ̅)〗^</a:t>
              </a:r>
              <a:r>
                <a:rPr lang="es-ES" sz="1400" b="0" i="0">
                  <a:latin typeface="Cambria Math"/>
                </a:rPr>
                <a:t>4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s-ES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s-E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𝑛〗_𝑖</a:t>
              </a:r>
              <a:endParaRPr lang="es-ES" sz="1400">
                <a:latin typeface="+mj-lt"/>
              </a:endParaRPr>
            </a:p>
          </xdr:txBody>
        </xdr:sp>
      </mc:Fallback>
    </mc:AlternateContent>
    <xdr:clientData/>
  </xdr:oneCellAnchor>
  <xdr:oneCellAnchor>
    <xdr:from>
      <xdr:col>6</xdr:col>
      <xdr:colOff>276225</xdr:colOff>
      <xdr:row>2</xdr:row>
      <xdr:rowOff>0</xdr:rowOff>
    </xdr:from>
    <xdr:ext cx="1388532" cy="440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8 CuadroTexto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4819650" y="381000"/>
              <a:ext cx="1388532" cy="440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right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𝑔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s-ES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4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s-E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ES" sz="1400" b="0" i="1">
                                <a:latin typeface="Cambria Math"/>
                              </a:rPr>
                              <m:t>𝑆</m:t>
                            </m:r>
                          </m:e>
                          <m:sup>
                            <m:r>
                              <a:rPr lang="es-ES" sz="1400" b="0" i="1">
                                <a:latin typeface="Cambria Math"/>
                              </a:rPr>
                              <m:t>4</m:t>
                            </m:r>
                          </m:sup>
                        </m:sSup>
                      </m:den>
                    </m:f>
                    <m:r>
                      <a:rPr lang="es-ES" sz="1400" b="0" i="1">
                        <a:latin typeface="Cambria Math"/>
                      </a:rPr>
                      <m:t>−3=</m:t>
                    </m:r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9" name="8 CuadroTexto"/>
            <xdr:cNvSpPr txBox="1"/>
          </xdr:nvSpPr>
          <xdr:spPr>
            <a:xfrm xmlns:a="http://schemas.openxmlformats.org/drawingml/2006/main">
              <a:off x="4819650" y="381000"/>
              <a:ext cx="1388532" cy="440233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𝑔_2=𝑚_4/𝑆^4 −3=</a:t>
              </a:r>
              <a:endParaRPr lang="es-ES" sz="1400"/>
            </a:p>
          </xdr:txBody>
        </xdr:sp>
      </mc:Fallback>
    </mc:AlternateContent>
    <xdr:clientData/>
  </xdr:oneCellAnchor>
  <xdr:twoCellAnchor>
    <xdr:from>
      <xdr:col>8</xdr:col>
      <xdr:colOff>304800</xdr:colOff>
      <xdr:row>5</xdr:row>
      <xdr:rowOff>152401</xdr:rowOff>
    </xdr:from>
    <xdr:to>
      <xdr:col>16</xdr:col>
      <xdr:colOff>742950</xdr:colOff>
      <xdr:row>14</xdr:row>
      <xdr:rowOff>95250</xdr:rowOff>
    </xdr:to>
    <xdr:sp macro="" textlink="">
      <xdr:nvSpPr>
        <xdr:cNvPr id="11" name="10 Forma libr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172075" y="1371601"/>
          <a:ext cx="6257925" cy="1752599"/>
        </a:xfrm>
        <a:custGeom>
          <a:avLst/>
          <a:gdLst>
            <a:gd name="connsiteX0" fmla="*/ 0 w 6257925"/>
            <a:gd name="connsiteY0" fmla="*/ 2457475 h 2467000"/>
            <a:gd name="connsiteX1" fmla="*/ 447675 w 6257925"/>
            <a:gd name="connsiteY1" fmla="*/ 2295550 h 2467000"/>
            <a:gd name="connsiteX2" fmla="*/ 1333500 w 6257925"/>
            <a:gd name="connsiteY2" fmla="*/ 1933600 h 2467000"/>
            <a:gd name="connsiteX3" fmla="*/ 2190750 w 6257925"/>
            <a:gd name="connsiteY3" fmla="*/ 971575 h 2467000"/>
            <a:gd name="connsiteX4" fmla="*/ 3086100 w 6257925"/>
            <a:gd name="connsiteY4" fmla="*/ 25 h 2467000"/>
            <a:gd name="connsiteX5" fmla="*/ 3962400 w 6257925"/>
            <a:gd name="connsiteY5" fmla="*/ 1000150 h 2467000"/>
            <a:gd name="connsiteX6" fmla="*/ 4829175 w 6257925"/>
            <a:gd name="connsiteY6" fmla="*/ 1943125 h 2467000"/>
            <a:gd name="connsiteX7" fmla="*/ 5705475 w 6257925"/>
            <a:gd name="connsiteY7" fmla="*/ 2305075 h 2467000"/>
            <a:gd name="connsiteX8" fmla="*/ 6257925 w 6257925"/>
            <a:gd name="connsiteY8" fmla="*/ 2467000 h 2467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6257925" h="2467000">
              <a:moveTo>
                <a:pt x="0" y="2457475"/>
              </a:moveTo>
              <a:cubicBezTo>
                <a:pt x="112712" y="2420168"/>
                <a:pt x="225425" y="2382862"/>
                <a:pt x="447675" y="2295550"/>
              </a:cubicBezTo>
              <a:cubicBezTo>
                <a:pt x="669925" y="2208237"/>
                <a:pt x="1042988" y="2154262"/>
                <a:pt x="1333500" y="1933600"/>
              </a:cubicBezTo>
              <a:cubicBezTo>
                <a:pt x="1624012" y="1712938"/>
                <a:pt x="1898650" y="1293837"/>
                <a:pt x="2190750" y="971575"/>
              </a:cubicBezTo>
              <a:cubicBezTo>
                <a:pt x="2482850" y="649313"/>
                <a:pt x="2790825" y="-4738"/>
                <a:pt x="3086100" y="25"/>
              </a:cubicBezTo>
              <a:cubicBezTo>
                <a:pt x="3381375" y="4787"/>
                <a:pt x="3671888" y="676300"/>
                <a:pt x="3962400" y="1000150"/>
              </a:cubicBezTo>
              <a:cubicBezTo>
                <a:pt x="4252913" y="1324000"/>
                <a:pt x="4538663" y="1725638"/>
                <a:pt x="4829175" y="1943125"/>
              </a:cubicBezTo>
              <a:cubicBezTo>
                <a:pt x="5119687" y="2160612"/>
                <a:pt x="5467350" y="2217762"/>
                <a:pt x="5705475" y="2305075"/>
              </a:cubicBezTo>
              <a:cubicBezTo>
                <a:pt x="5943600" y="2392388"/>
                <a:pt x="6100762" y="2429694"/>
                <a:pt x="6257925" y="2467000"/>
              </a:cubicBezTo>
            </a:path>
          </a:pathLst>
        </a:cu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38100</xdr:rowOff>
    </xdr:from>
    <xdr:to>
      <xdr:col>17</xdr:col>
      <xdr:colOff>723900</xdr:colOff>
      <xdr:row>21</xdr:row>
      <xdr:rowOff>95250</xdr:rowOff>
    </xdr:to>
    <xdr:graphicFrame macro="">
      <xdr:nvGraphicFramePr>
        <xdr:cNvPr id="3144" name="3 Gráfico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2</xdr:row>
      <xdr:rowOff>161925</xdr:rowOff>
    </xdr:from>
    <xdr:to>
      <xdr:col>17</xdr:col>
      <xdr:colOff>504825</xdr:colOff>
      <xdr:row>19</xdr:row>
      <xdr:rowOff>161926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6210300" y="542925"/>
          <a:ext cx="3524250" cy="353377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68580</xdr:colOff>
          <xdr:row>0</xdr:row>
          <xdr:rowOff>38100</xdr:rowOff>
        </xdr:from>
        <xdr:to>
          <xdr:col>12</xdr:col>
          <xdr:colOff>335280</xdr:colOff>
          <xdr:row>1</xdr:row>
          <xdr:rowOff>175260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</xdr:col>
      <xdr:colOff>47625</xdr:colOff>
      <xdr:row>2</xdr:row>
      <xdr:rowOff>28575</xdr:rowOff>
    </xdr:from>
    <xdr:ext cx="4762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6 CuadroTexto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1571625" y="790575"/>
              <a:ext cx="4762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  <m:r>
                          <a:rPr lang="es-ES" sz="1400" b="0" i="1">
                            <a:latin typeface="Cambria Math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7" name="6 CuadroTexto"/>
            <xdr:cNvSpPr txBox="1"/>
          </xdr:nvSpPr>
          <xdr:spPr>
            <a:xfrm xmlns:a="http://schemas.openxmlformats.org/drawingml/2006/main">
              <a:off x="1571625" y="790575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𝐿_(𝑖−1)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2</xdr:col>
      <xdr:colOff>57150</xdr:colOff>
      <xdr:row>2</xdr:row>
      <xdr:rowOff>38100</xdr:rowOff>
    </xdr:from>
    <xdr:ext cx="4762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8 CuadroTexto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162175" y="800100"/>
              <a:ext cx="4762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9" name="8 CuadroTexto"/>
            <xdr:cNvSpPr txBox="1"/>
          </xdr:nvSpPr>
          <xdr:spPr>
            <a:xfrm xmlns:a="http://schemas.openxmlformats.org/drawingml/2006/main">
              <a:off x="2162175" y="800100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𝐿_𝑖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3</xdr:col>
      <xdr:colOff>57150</xdr:colOff>
      <xdr:row>2</xdr:row>
      <xdr:rowOff>38100</xdr:rowOff>
    </xdr:from>
    <xdr:ext cx="4762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9 CuadroTexto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743200" y="800100"/>
              <a:ext cx="4762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0" name="9 CuadroTexto"/>
            <xdr:cNvSpPr txBox="1"/>
          </xdr:nvSpPr>
          <xdr:spPr>
            <a:xfrm xmlns:a="http://schemas.openxmlformats.org/drawingml/2006/main">
              <a:off x="2743200" y="800100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4</xdr:col>
      <xdr:colOff>57150</xdr:colOff>
      <xdr:row>2</xdr:row>
      <xdr:rowOff>38100</xdr:rowOff>
    </xdr:from>
    <xdr:ext cx="4762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10 CuadroTexto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3324225" y="800100"/>
              <a:ext cx="4762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1" name="10 CuadroTexto"/>
            <xdr:cNvSpPr txBox="1"/>
          </xdr:nvSpPr>
          <xdr:spPr>
            <a:xfrm xmlns:a="http://schemas.openxmlformats.org/drawingml/2006/main">
              <a:off x="3324225" y="800100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6</xdr:col>
      <xdr:colOff>57150</xdr:colOff>
      <xdr:row>2</xdr:row>
      <xdr:rowOff>38100</xdr:rowOff>
    </xdr:from>
    <xdr:ext cx="4762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12 CuadroTexto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3295650" y="419100"/>
              <a:ext cx="4762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3" name="12 CuadroTexto"/>
            <xdr:cNvSpPr txBox="1"/>
          </xdr:nvSpPr>
          <xdr:spPr>
            <a:xfrm xmlns:a="http://schemas.openxmlformats.org/drawingml/2006/main">
              <a:off x="3295650" y="419100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𝑁_𝑖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7</xdr:col>
      <xdr:colOff>47625</xdr:colOff>
      <xdr:row>2</xdr:row>
      <xdr:rowOff>38100</xdr:rowOff>
    </xdr:from>
    <xdr:ext cx="4762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13 CuadroTexto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3867150" y="419100"/>
              <a:ext cx="4762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𝑢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4" name="13 CuadroTexto"/>
            <xdr:cNvSpPr txBox="1"/>
          </xdr:nvSpPr>
          <xdr:spPr>
            <a:xfrm xmlns:a="http://schemas.openxmlformats.org/drawingml/2006/main">
              <a:off x="3867150" y="419100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𝑢_𝑖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8</xdr:col>
      <xdr:colOff>57150</xdr:colOff>
      <xdr:row>2</xdr:row>
      <xdr:rowOff>38100</xdr:rowOff>
    </xdr:from>
    <xdr:ext cx="4762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14 CuadroTexto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4457700" y="419100"/>
              <a:ext cx="4762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5" name="14 CuadroTexto"/>
            <xdr:cNvSpPr txBox="1"/>
          </xdr:nvSpPr>
          <xdr:spPr>
            <a:xfrm xmlns:a="http://schemas.openxmlformats.org/drawingml/2006/main">
              <a:off x="4457700" y="419100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𝑝_𝑖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9</xdr:col>
      <xdr:colOff>57150</xdr:colOff>
      <xdr:row>2</xdr:row>
      <xdr:rowOff>28575</xdr:rowOff>
    </xdr:from>
    <xdr:ext cx="4762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15 CuadroTexto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5038725" y="409575"/>
              <a:ext cx="4762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𝑞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6" name="15 CuadroTexto"/>
            <xdr:cNvSpPr txBox="1"/>
          </xdr:nvSpPr>
          <xdr:spPr>
            <a:xfrm xmlns:a="http://schemas.openxmlformats.org/drawingml/2006/main">
              <a:off x="5038725" y="409575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𝑞_𝑖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5</xdr:col>
      <xdr:colOff>66675</xdr:colOff>
      <xdr:row>2</xdr:row>
      <xdr:rowOff>38100</xdr:rowOff>
    </xdr:from>
    <xdr:ext cx="4762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16 CuadroTexto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3152775" y="800100"/>
              <a:ext cx="4762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  <m:r>
                          <a:rPr lang="es-ES" sz="1400" b="0" i="1">
                            <a:latin typeface="Cambria Math"/>
                          </a:rPr>
                          <m:t> </m:t>
                        </m:r>
                      </m:sub>
                    </m:sSub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7" name="16 CuadroTexto"/>
            <xdr:cNvSpPr txBox="1"/>
          </xdr:nvSpPr>
          <xdr:spPr>
            <a:xfrm xmlns:a="http://schemas.openxmlformats.org/drawingml/2006/main">
              <a:off x="3152775" y="800100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𝑥_(𝑖 ) 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13</xdr:col>
      <xdr:colOff>219074</xdr:colOff>
      <xdr:row>0</xdr:row>
      <xdr:rowOff>38099</xdr:rowOff>
    </xdr:from>
    <xdr:ext cx="6191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7 CuadroTexto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6400799" y="38099"/>
              <a:ext cx="6191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right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𝐼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𝐺</m:t>
                        </m:r>
                      </m:sub>
                    </m:sSub>
                    <m:r>
                      <a:rPr lang="es-ES" sz="14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8" name="7 CuadroTexto"/>
            <xdr:cNvSpPr txBox="1"/>
          </xdr:nvSpPr>
          <xdr:spPr>
            <a:xfrm xmlns:a="http://schemas.openxmlformats.org/drawingml/2006/main">
              <a:off x="6400799" y="38099"/>
              <a:ext cx="619125" cy="295275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𝐼_𝐺=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15</xdr:col>
      <xdr:colOff>180975</xdr:colOff>
      <xdr:row>0</xdr:row>
      <xdr:rowOff>28575</xdr:rowOff>
    </xdr:from>
    <xdr:ext cx="6286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17 CuadroTexto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8715375" y="28575"/>
              <a:ext cx="6286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right"/>
                  </m:oMathParaPr>
                  <m:oMath xmlns:m="http://schemas.openxmlformats.org/officeDocument/2006/math">
                    <m:r>
                      <a:rPr lang="es-ES" sz="1400" b="0" i="1">
                        <a:latin typeface="Cambria Math"/>
                      </a:rPr>
                      <m:t>𝑀𝑙</m:t>
                    </m:r>
                    <m:r>
                      <a:rPr lang="es-ES" sz="14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s-ES" sz="1400" b="0"/>
            </a:p>
          </xdr:txBody>
        </xdr:sp>
      </mc:Choice>
      <mc:Fallback xmlns="">
        <xdr:sp macro="" textlink="">
          <xdr:nvSpPr>
            <xdr:cNvPr id="18" name="17 CuadroTexto"/>
            <xdr:cNvSpPr txBox="1"/>
          </xdr:nvSpPr>
          <xdr:spPr>
            <a:xfrm xmlns:a="http://schemas.openxmlformats.org/drawingml/2006/main">
              <a:off x="8715375" y="28575"/>
              <a:ext cx="6286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𝑀𝑙=</a:t>
              </a:r>
              <a:endParaRPr lang="es-ES" sz="1400" b="0"/>
            </a:p>
          </xdr:txBody>
        </xdr:sp>
      </mc:Fallback>
    </mc:AlternateContent>
    <xdr:clientData/>
  </xdr:oneCellAnchor>
  <xdr:oneCellAnchor>
    <xdr:from>
      <xdr:col>17</xdr:col>
      <xdr:colOff>104775</xdr:colOff>
      <xdr:row>0</xdr:row>
      <xdr:rowOff>38100</xdr:rowOff>
    </xdr:from>
    <xdr:ext cx="72390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18 CuadroTexto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10163175" y="38100"/>
              <a:ext cx="7239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right"/>
                  </m:oMathParaPr>
                  <m:oMath xmlns:m="http://schemas.openxmlformats.org/officeDocument/2006/math">
                    <m:r>
                      <a:rPr lang="es-ES" sz="1400" b="0" i="1">
                        <a:latin typeface="Cambria Math"/>
                      </a:rPr>
                      <m:t>𝑀𝑒</m:t>
                    </m:r>
                    <m:r>
                      <a:rPr lang="es-ES" sz="14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es-ES" sz="1400" b="0"/>
            </a:p>
          </xdr:txBody>
        </xdr:sp>
      </mc:Choice>
      <mc:Fallback xmlns="">
        <xdr:sp macro="" textlink="">
          <xdr:nvSpPr>
            <xdr:cNvPr id="19" name="18 CuadroTexto"/>
            <xdr:cNvSpPr txBox="1"/>
          </xdr:nvSpPr>
          <xdr:spPr>
            <a:xfrm xmlns:a="http://schemas.openxmlformats.org/drawingml/2006/main">
              <a:off x="10163175" y="38100"/>
              <a:ext cx="72390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𝑀𝑒=</a:t>
              </a:r>
              <a:endParaRPr lang="es-ES" sz="1400" b="0"/>
            </a:p>
          </xdr:txBody>
        </xdr:sp>
      </mc:Fallback>
    </mc:AlternateContent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0.89224</cdr:x>
      <cdr:y>0.83533</cdr:y>
    </cdr:from>
    <cdr:to>
      <cdr:x>1</cdr:x>
      <cdr:y>0.91376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14 CuadroTexto"/>
            <cdr:cNvSpPr txBox="1"/>
          </cdr:nvSpPr>
          <cdr:spPr>
            <a:xfrm xmlns:a="http://schemas.openxmlformats.org/drawingml/2006/main">
              <a:off x="3943354" y="3317875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cdr:txBody>
        </cdr:sp>
      </mc:Choice>
      <mc:Fallback xmlns="">
        <cdr:sp macro="" textlink="">
          <cdr:nvSpPr>
            <cdr:cNvPr id="2" name="14 CuadroTexto"/>
            <cdr:cNvSpPr txBox="1"/>
          </cdr:nvSpPr>
          <cdr:spPr>
            <a:xfrm xmlns:a="http://schemas.openxmlformats.org/drawingml/2006/main">
              <a:off x="3943354" y="3317875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𝑝_𝑖</a:t>
              </a:r>
              <a:endParaRPr lang="es-ES" sz="1400"/>
            </a:p>
          </cdr:txBody>
        </cdr:sp>
      </mc:Fallback>
    </mc:AlternateContent>
  </cdr:relSizeAnchor>
  <cdr:relSizeAnchor xmlns:cdr="http://schemas.openxmlformats.org/drawingml/2006/chartDrawing">
    <cdr:from>
      <cdr:x>0.06322</cdr:x>
      <cdr:y>0</cdr:y>
    </cdr:from>
    <cdr:to>
      <cdr:x>0.17098</cdr:x>
      <cdr:y>0.07842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15 CuadroTexto"/>
            <cdr:cNvSpPr txBox="1"/>
          </cdr:nvSpPr>
          <cdr:spPr>
            <a:xfrm xmlns:a="http://schemas.openxmlformats.org/drawingml/2006/main">
              <a:off x="279400" y="0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𝑞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cdr:txBody>
        </cdr:sp>
      </mc:Choice>
      <mc:Fallback xmlns="">
        <cdr:sp macro="" textlink="">
          <cdr:nvSpPr>
            <cdr:cNvPr id="3" name="15 CuadroTexto"/>
            <cdr:cNvSpPr txBox="1"/>
          </cdr:nvSpPr>
          <cdr:spPr>
            <a:xfrm xmlns:a="http://schemas.openxmlformats.org/drawingml/2006/main">
              <a:off x="279400" y="0"/>
              <a:ext cx="4762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𝑞_𝑖</a:t>
              </a:r>
              <a:endParaRPr lang="es-ES" sz="1400"/>
            </a:p>
          </cdr:txBody>
        </cdr:sp>
      </mc:Fallback>
    </mc:AlternateContent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3</xdr:row>
      <xdr:rowOff>41855</xdr:rowOff>
    </xdr:from>
    <xdr:ext cx="419100" cy="3230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3057525" y="803855"/>
              <a:ext cx="419100" cy="3230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 xmlns:a="http://schemas.openxmlformats.org/drawingml/2006/main">
              <a:off x="3057525" y="803855"/>
              <a:ext cx="419100" cy="323037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7</xdr:col>
      <xdr:colOff>180975</xdr:colOff>
      <xdr:row>19</xdr:row>
      <xdr:rowOff>28575</xdr:rowOff>
    </xdr:from>
    <xdr:ext cx="419100" cy="3400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2 CuadroTexto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4162425" y="4210050"/>
              <a:ext cx="419100" cy="3400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3" name="2 CuadroTexto"/>
            <xdr:cNvSpPr txBox="1"/>
          </xdr:nvSpPr>
          <xdr:spPr>
            <a:xfrm xmlns:a="http://schemas.openxmlformats.org/drawingml/2006/main">
              <a:off x="4162425" y="4210050"/>
              <a:ext cx="419100" cy="340071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7</xdr:col>
      <xdr:colOff>685800</xdr:colOff>
      <xdr:row>19</xdr:row>
      <xdr:rowOff>28575</xdr:rowOff>
    </xdr:from>
    <xdr:ext cx="11620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3 CuadroTexto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4667250" y="4210050"/>
              <a:ext cx="11620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𝑦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s-ES" sz="1400" b="0" i="1">
                        <a:latin typeface="Cambria Math"/>
                      </a:rPr>
                      <m:t>=</m:t>
                    </m:r>
                    <m:r>
                      <a:rPr lang="es-ES" sz="1400" b="0" i="1">
                        <a:latin typeface="Cambria Math"/>
                      </a:rPr>
                      <m:t>𝑒</m:t>
                    </m:r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s-ES" sz="1400" b="0" i="1">
                        <a:latin typeface="Cambria Math"/>
                      </a:rPr>
                      <m:t>+</m:t>
                    </m:r>
                    <m:r>
                      <a:rPr lang="es-ES" sz="1400" b="0" i="1">
                        <a:latin typeface="Cambria Math"/>
                      </a:rPr>
                      <m:t>𝑐</m:t>
                    </m:r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" name="3 CuadroTexto"/>
            <xdr:cNvSpPr txBox="1"/>
          </xdr:nvSpPr>
          <xdr:spPr>
            <a:xfrm xmlns:a="http://schemas.openxmlformats.org/drawingml/2006/main">
              <a:off x="4667250" y="4210050"/>
              <a:ext cx="11620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𝑦_𝑖=𝑒𝑥_𝑖+𝑐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2</xdr:col>
      <xdr:colOff>85725</xdr:colOff>
      <xdr:row>3</xdr:row>
      <xdr:rowOff>38100</xdr:rowOff>
    </xdr:from>
    <xdr:ext cx="45720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5 CuadroTexto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3019425" y="800100"/>
              <a:ext cx="45720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6" name="5 CuadroTexto"/>
            <xdr:cNvSpPr txBox="1"/>
          </xdr:nvSpPr>
          <xdr:spPr>
            <a:xfrm xmlns:a="http://schemas.openxmlformats.org/drawingml/2006/main">
              <a:off x="3019425" y="800100"/>
              <a:ext cx="45720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𝐿_𝑖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5</xdr:col>
      <xdr:colOff>104775</xdr:colOff>
      <xdr:row>3</xdr:row>
      <xdr:rowOff>28575</xdr:rowOff>
    </xdr:from>
    <xdr:ext cx="38100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7 CuadroTexto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4238625" y="790575"/>
              <a:ext cx="38100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h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8" name="7 CuadroTexto"/>
            <xdr:cNvSpPr txBox="1"/>
          </xdr:nvSpPr>
          <xdr:spPr>
            <a:xfrm xmlns:a="http://schemas.openxmlformats.org/drawingml/2006/main">
              <a:off x="4238625" y="790575"/>
              <a:ext cx="38100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ℎ_𝑖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11</xdr:col>
      <xdr:colOff>76200</xdr:colOff>
      <xdr:row>3</xdr:row>
      <xdr:rowOff>19050</xdr:rowOff>
    </xdr:from>
    <xdr:ext cx="45720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8 CuadroTexto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7858125" y="638175"/>
              <a:ext cx="45720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9" name="8 CuadroTexto"/>
            <xdr:cNvSpPr txBox="1"/>
          </xdr:nvSpPr>
          <xdr:spPr>
            <a:xfrm xmlns:a="http://schemas.openxmlformats.org/drawingml/2006/main">
              <a:off x="7858125" y="638175"/>
              <a:ext cx="45720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𝑝_𝑖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12</xdr:col>
      <xdr:colOff>85725</xdr:colOff>
      <xdr:row>3</xdr:row>
      <xdr:rowOff>38100</xdr:rowOff>
    </xdr:from>
    <xdr:ext cx="428625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9 CuadroTexto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9896475" y="704850"/>
              <a:ext cx="428625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𝑞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0" name="9 CuadroTexto"/>
            <xdr:cNvSpPr txBox="1"/>
          </xdr:nvSpPr>
          <xdr:spPr>
            <a:xfrm xmlns:a="http://schemas.openxmlformats.org/drawingml/2006/main">
              <a:off x="9896475" y="704850"/>
              <a:ext cx="428625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𝑞_𝑖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</xdr:col>
      <xdr:colOff>85725</xdr:colOff>
      <xdr:row>3</xdr:row>
      <xdr:rowOff>38100</xdr:rowOff>
    </xdr:from>
    <xdr:ext cx="4381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10 CuadroTexto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2400300" y="800100"/>
              <a:ext cx="4381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  <m:r>
                          <a:rPr lang="es-ES" sz="1400" b="0" i="1">
                            <a:latin typeface="Cambria Math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1" name="10 CuadroTexto"/>
            <xdr:cNvSpPr txBox="1"/>
          </xdr:nvSpPr>
          <xdr:spPr>
            <a:xfrm xmlns:a="http://schemas.openxmlformats.org/drawingml/2006/main">
              <a:off x="2400300" y="800100"/>
              <a:ext cx="43815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𝐿_(𝑖−1)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6</xdr:col>
      <xdr:colOff>57150</xdr:colOff>
      <xdr:row>3</xdr:row>
      <xdr:rowOff>9525</xdr:rowOff>
    </xdr:from>
    <xdr:ext cx="5143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11 CuadroTexto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3609975" y="628650"/>
              <a:ext cx="5143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2" name="11 CuadroTexto"/>
            <xdr:cNvSpPr txBox="1"/>
          </xdr:nvSpPr>
          <xdr:spPr>
            <a:xfrm xmlns:a="http://schemas.openxmlformats.org/drawingml/2006/main">
              <a:off x="3609975" y="628650"/>
              <a:ext cx="51435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𝑥_𝑖 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0</xdr:col>
      <xdr:colOff>66675</xdr:colOff>
      <xdr:row>0</xdr:row>
      <xdr:rowOff>85725</xdr:rowOff>
    </xdr:from>
    <xdr:ext cx="116205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12 CuadroTexto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 txBox="1"/>
          </xdr:nvSpPr>
          <xdr:spPr>
            <a:xfrm>
              <a:off x="66675" y="85725"/>
              <a:ext cx="116205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𝑦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s-ES" sz="1400" b="0" i="1">
                        <a:latin typeface="Cambria Math"/>
                      </a:rPr>
                      <m:t>=</m:t>
                    </m:r>
                    <m:r>
                      <a:rPr lang="es-ES" sz="1400" b="0" i="1">
                        <a:latin typeface="Cambria Math"/>
                      </a:rPr>
                      <m:t>𝑒</m:t>
                    </m:r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a:rPr lang="es-ES" sz="1400" b="0" i="1">
                        <a:latin typeface="Cambria Math"/>
                      </a:rPr>
                      <m:t>+</m:t>
                    </m:r>
                    <m:r>
                      <a:rPr lang="es-ES" sz="1400" b="0" i="1">
                        <a:latin typeface="Cambria Math"/>
                      </a:rPr>
                      <m:t>𝑐</m:t>
                    </m:r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3" name="12 CuadroTexto"/>
            <xdr:cNvSpPr txBox="1"/>
          </xdr:nvSpPr>
          <xdr:spPr>
            <a:xfrm xmlns:a="http://schemas.openxmlformats.org/drawingml/2006/main">
              <a:off x="66675" y="85725"/>
              <a:ext cx="1162050" cy="311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𝑦_𝑖=𝑒𝑥_𝑖+𝑐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7</xdr:col>
      <xdr:colOff>19050</xdr:colOff>
      <xdr:row>3</xdr:row>
      <xdr:rowOff>19051</xdr:rowOff>
    </xdr:from>
    <xdr:ext cx="695325" cy="2857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14 CuadroTexto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 txBox="1"/>
          </xdr:nvSpPr>
          <xdr:spPr>
            <a:xfrm>
              <a:off x="4152900" y="638176"/>
              <a:ext cx="695325" cy="2857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s-ES" sz="1400" b="0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−</m:t>
                    </m:r>
                    <m:acc>
                      <m:accPr>
                        <m:chr m:val="̅"/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14 CuadroTexto"/>
            <xdr:cNvSpPr txBox="1"/>
          </xdr:nvSpPr>
          <xdr:spPr>
            <a:xfrm xmlns:a="http://schemas.openxmlformats.org/drawingml/2006/main">
              <a:off x="4152900" y="638176"/>
              <a:ext cx="695325" cy="285749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𝑥_𝑖−𝑥 ̅</a:t>
              </a:r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8</xdr:col>
      <xdr:colOff>19051</xdr:colOff>
      <xdr:row>3</xdr:row>
      <xdr:rowOff>19050</xdr:rowOff>
    </xdr:from>
    <xdr:ext cx="962024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15 CuadroTexto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6029326" y="781050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acc>
                        <m:r>
                          <m:rPr>
                            <m:nor/>
                          </m:rPr>
                          <a:rPr lang="es-ES" sz="1400" b="0" i="0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e>
                      <m:sup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15 CuadroTexto"/>
            <xdr:cNvSpPr txBox="1"/>
          </xdr:nvSpPr>
          <xdr:spPr>
            <a:xfrm>
              <a:off x="6029326" y="781050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:r>
                <a:rPr lang="es-ES" sz="14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〖〖(𝑥〗_𝑖−𝑥 ̅") " 〗^2 𝑛_𝑖</a:t>
              </a:r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106680</xdr:colOff>
          <xdr:row>0</xdr:row>
          <xdr:rowOff>30480</xdr:rowOff>
        </xdr:from>
        <xdr:to>
          <xdr:col>4</xdr:col>
          <xdr:colOff>495300</xdr:colOff>
          <xdr:row>1</xdr:row>
          <xdr:rowOff>213360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3</xdr:col>
      <xdr:colOff>104775</xdr:colOff>
      <xdr:row>3</xdr:row>
      <xdr:rowOff>28575</xdr:rowOff>
    </xdr:from>
    <xdr:ext cx="4000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23 CuadroTexto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 txBox="1"/>
          </xdr:nvSpPr>
          <xdr:spPr>
            <a:xfrm>
              <a:off x="3657600" y="790575"/>
              <a:ext cx="4000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24" name="23 CuadroTexto"/>
            <xdr:cNvSpPr txBox="1"/>
          </xdr:nvSpPr>
          <xdr:spPr>
            <a:xfrm xmlns:a="http://schemas.openxmlformats.org/drawingml/2006/main">
              <a:off x="3657600" y="790575"/>
              <a:ext cx="40005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4</xdr:col>
      <xdr:colOff>85725</xdr:colOff>
      <xdr:row>11</xdr:row>
      <xdr:rowOff>41855</xdr:rowOff>
    </xdr:from>
    <xdr:ext cx="419100" cy="3230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39 CuadroTexto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 txBox="1"/>
          </xdr:nvSpPr>
          <xdr:spPr>
            <a:xfrm>
              <a:off x="4219575" y="851480"/>
              <a:ext cx="419100" cy="3230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𝑦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0" name="39 CuadroTexto"/>
            <xdr:cNvSpPr txBox="1"/>
          </xdr:nvSpPr>
          <xdr:spPr>
            <a:xfrm xmlns:a="http://schemas.openxmlformats.org/drawingml/2006/main">
              <a:off x="4219575" y="851480"/>
              <a:ext cx="419100" cy="323037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𝑦_𝑖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2</xdr:col>
      <xdr:colOff>85725</xdr:colOff>
      <xdr:row>11</xdr:row>
      <xdr:rowOff>38100</xdr:rowOff>
    </xdr:from>
    <xdr:ext cx="45720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40 CuadroTexto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SpPr txBox="1"/>
          </xdr:nvSpPr>
          <xdr:spPr>
            <a:xfrm>
              <a:off x="3019425" y="847725"/>
              <a:ext cx="45720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1" name="40 CuadroTexto"/>
            <xdr:cNvSpPr txBox="1"/>
          </xdr:nvSpPr>
          <xdr:spPr>
            <a:xfrm xmlns:a="http://schemas.openxmlformats.org/drawingml/2006/main">
              <a:off x="3019425" y="847725"/>
              <a:ext cx="45720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𝐿_𝑖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5</xdr:col>
      <xdr:colOff>104775</xdr:colOff>
      <xdr:row>11</xdr:row>
      <xdr:rowOff>28575</xdr:rowOff>
    </xdr:from>
    <xdr:ext cx="38100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41 CuadroTexto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 txBox="1"/>
          </xdr:nvSpPr>
          <xdr:spPr>
            <a:xfrm>
              <a:off x="4819650" y="838200"/>
              <a:ext cx="38100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h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2" name="41 CuadroTexto"/>
            <xdr:cNvSpPr txBox="1"/>
          </xdr:nvSpPr>
          <xdr:spPr>
            <a:xfrm xmlns:a="http://schemas.openxmlformats.org/drawingml/2006/main">
              <a:off x="4819650" y="838200"/>
              <a:ext cx="38100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ℎ_𝑖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11</xdr:col>
      <xdr:colOff>76200</xdr:colOff>
      <xdr:row>11</xdr:row>
      <xdr:rowOff>38100</xdr:rowOff>
    </xdr:from>
    <xdr:ext cx="45720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42 CuadroTexto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SpPr txBox="1"/>
          </xdr:nvSpPr>
          <xdr:spPr>
            <a:xfrm>
              <a:off x="9639300" y="847725"/>
              <a:ext cx="45720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3" name="42 CuadroTexto"/>
            <xdr:cNvSpPr txBox="1"/>
          </xdr:nvSpPr>
          <xdr:spPr>
            <a:xfrm xmlns:a="http://schemas.openxmlformats.org/drawingml/2006/main">
              <a:off x="9639300" y="847725"/>
              <a:ext cx="45720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𝑝_𝑖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12</xdr:col>
      <xdr:colOff>85725</xdr:colOff>
      <xdr:row>11</xdr:row>
      <xdr:rowOff>38100</xdr:rowOff>
    </xdr:from>
    <xdr:ext cx="428625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43 CuadroTexto">
              <a:extLst>
                <a:ext uri="{FF2B5EF4-FFF2-40B4-BE49-F238E27FC236}">
                  <a16:creationId xmlns:a16="http://schemas.microsoft.com/office/drawing/2014/main" id="{00000000-0008-0000-0300-00002C000000}"/>
                </a:ext>
              </a:extLst>
            </xdr:cNvPr>
            <xdr:cNvSpPr txBox="1"/>
          </xdr:nvSpPr>
          <xdr:spPr>
            <a:xfrm>
              <a:off x="10229850" y="847725"/>
              <a:ext cx="428625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𝑞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4" name="43 CuadroTexto"/>
            <xdr:cNvSpPr txBox="1"/>
          </xdr:nvSpPr>
          <xdr:spPr>
            <a:xfrm xmlns:a="http://schemas.openxmlformats.org/drawingml/2006/main">
              <a:off x="10229850" y="847725"/>
              <a:ext cx="428625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𝑞_𝑖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</xdr:col>
      <xdr:colOff>85725</xdr:colOff>
      <xdr:row>11</xdr:row>
      <xdr:rowOff>38100</xdr:rowOff>
    </xdr:from>
    <xdr:ext cx="4381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44 CuadroTexto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SpPr txBox="1"/>
          </xdr:nvSpPr>
          <xdr:spPr>
            <a:xfrm>
              <a:off x="2400300" y="847725"/>
              <a:ext cx="4381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  <m:r>
                          <a:rPr lang="es-ES" sz="1400" b="0" i="1">
                            <a:latin typeface="Cambria Math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5" name="44 CuadroTexto"/>
            <xdr:cNvSpPr txBox="1"/>
          </xdr:nvSpPr>
          <xdr:spPr>
            <a:xfrm xmlns:a="http://schemas.openxmlformats.org/drawingml/2006/main">
              <a:off x="2400300" y="847725"/>
              <a:ext cx="43815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𝐿_(𝑖−1)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6</xdr:col>
      <xdr:colOff>57150</xdr:colOff>
      <xdr:row>11</xdr:row>
      <xdr:rowOff>28575</xdr:rowOff>
    </xdr:from>
    <xdr:ext cx="5143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45 CuadroTexto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SpPr txBox="1"/>
          </xdr:nvSpPr>
          <xdr:spPr>
            <a:xfrm>
              <a:off x="5353050" y="838200"/>
              <a:ext cx="5143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𝑦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46" name="45 CuadroTexto"/>
            <xdr:cNvSpPr txBox="1"/>
          </xdr:nvSpPr>
          <xdr:spPr>
            <a:xfrm xmlns:a="http://schemas.openxmlformats.org/drawingml/2006/main">
              <a:off x="5353050" y="838200"/>
              <a:ext cx="51435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𝑦_𝑖 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7</xdr:col>
      <xdr:colOff>19050</xdr:colOff>
      <xdr:row>11</xdr:row>
      <xdr:rowOff>57151</xdr:rowOff>
    </xdr:from>
    <xdr:ext cx="695325" cy="2857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46 CuadroTexto">
              <a:extLst>
                <a:ext uri="{FF2B5EF4-FFF2-40B4-BE49-F238E27FC236}">
                  <a16:creationId xmlns:a16="http://schemas.microsoft.com/office/drawing/2014/main" id="{00000000-0008-0000-0300-00002F000000}"/>
                </a:ext>
              </a:extLst>
            </xdr:cNvPr>
            <xdr:cNvSpPr txBox="1"/>
          </xdr:nvSpPr>
          <xdr:spPr>
            <a:xfrm>
              <a:off x="5934075" y="866776"/>
              <a:ext cx="695325" cy="2857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s-ES" sz="1400" b="0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−</m:t>
                    </m:r>
                    <m:acc>
                      <m:accPr>
                        <m:chr m:val="̅"/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𝑦</m:t>
                        </m:r>
                      </m:e>
                    </m:acc>
                  </m:oMath>
                </m:oMathPara>
              </a14:m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7" name="46 CuadroTexto"/>
            <xdr:cNvSpPr txBox="1"/>
          </xdr:nvSpPr>
          <xdr:spPr>
            <a:xfrm xmlns:a="http://schemas.openxmlformats.org/drawingml/2006/main">
              <a:off x="5934075" y="866776"/>
              <a:ext cx="695325" cy="285749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𝑦_𝑖−𝑦 ̅</a:t>
              </a:r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8</xdr:col>
      <xdr:colOff>19051</xdr:colOff>
      <xdr:row>11</xdr:row>
      <xdr:rowOff>19050</xdr:rowOff>
    </xdr:from>
    <xdr:ext cx="962024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47 CuadroTexto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6610351" y="82867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</m:acc>
                        <m:r>
                          <m:rPr>
                            <m:nor/>
                          </m:rPr>
                          <a:rPr lang="es-ES" sz="1400" b="0" i="0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e>
                      <m:sup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8" name="47 CuadroTexto"/>
            <xdr:cNvSpPr txBox="1"/>
          </xdr:nvSpPr>
          <xdr:spPr>
            <a:xfrm>
              <a:off x="6610351" y="82867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:r>
                <a:rPr lang="es-ES" sz="14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〖〖(𝑦〗_𝑖−𝑦 ̅") " 〗^2 𝑛_𝑖</a:t>
              </a:r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9</xdr:col>
      <xdr:colOff>9525</xdr:colOff>
      <xdr:row>11</xdr:row>
      <xdr:rowOff>19050</xdr:rowOff>
    </xdr:from>
    <xdr:ext cx="962024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50 CuadroTexto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SpPr txBox="1"/>
          </xdr:nvSpPr>
          <xdr:spPr>
            <a:xfrm>
              <a:off x="7610475" y="82867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</m:acc>
                        <m:r>
                          <m:rPr>
                            <m:nor/>
                          </m:rPr>
                          <a:rPr lang="es-ES" sz="1400" b="0" i="0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e>
                      <m:sup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  <m:sSub>
                      <m:sSub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1" name="50 CuadroTexto"/>
            <xdr:cNvSpPr txBox="1"/>
          </xdr:nvSpPr>
          <xdr:spPr>
            <a:xfrm>
              <a:off x="7610475" y="82867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:r>
                <a:rPr lang="es-ES" sz="14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〖〖(𝑦〗_𝑖−𝑦 ̅") " 〗^3 𝑛_𝑖</a:t>
              </a:r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10</xdr:col>
      <xdr:colOff>9525</xdr:colOff>
      <xdr:row>11</xdr:row>
      <xdr:rowOff>19050</xdr:rowOff>
    </xdr:from>
    <xdr:ext cx="962024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51 CuadroTexto">
              <a:extLst>
                <a:ext uri="{FF2B5EF4-FFF2-40B4-BE49-F238E27FC236}">
                  <a16:creationId xmlns:a16="http://schemas.microsoft.com/office/drawing/2014/main" id="{00000000-0008-0000-0300-000034000000}"/>
                </a:ext>
              </a:extLst>
            </xdr:cNvPr>
            <xdr:cNvSpPr txBox="1"/>
          </xdr:nvSpPr>
          <xdr:spPr>
            <a:xfrm>
              <a:off x="8591550" y="82867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</m:acc>
                        <m:r>
                          <m:rPr>
                            <m:nor/>
                          </m:rPr>
                          <a:rPr lang="es-ES" sz="1400" b="0" i="0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e>
                      <m:sup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  <m:sSub>
                      <m:sSub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2" name="51 CuadroTexto"/>
            <xdr:cNvSpPr txBox="1"/>
          </xdr:nvSpPr>
          <xdr:spPr>
            <a:xfrm>
              <a:off x="8591550" y="82867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:r>
                <a:rPr lang="es-ES" sz="14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〖〖(𝑦〗_𝑖−𝑦 ̅") " 〗^4 𝑛_𝑖</a:t>
              </a:r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104775</xdr:colOff>
      <xdr:row>11</xdr:row>
      <xdr:rowOff>28575</xdr:rowOff>
    </xdr:from>
    <xdr:ext cx="4000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53 CuadroTexto">
              <a:extLst>
                <a:ext uri="{FF2B5EF4-FFF2-40B4-BE49-F238E27FC236}">
                  <a16:creationId xmlns:a16="http://schemas.microsoft.com/office/drawing/2014/main" id="{00000000-0008-0000-0300-000036000000}"/>
                </a:ext>
              </a:extLst>
            </xdr:cNvPr>
            <xdr:cNvSpPr txBox="1"/>
          </xdr:nvSpPr>
          <xdr:spPr>
            <a:xfrm>
              <a:off x="3657600" y="838200"/>
              <a:ext cx="4000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54" name="53 CuadroTexto"/>
            <xdr:cNvSpPr txBox="1"/>
          </xdr:nvSpPr>
          <xdr:spPr>
            <a:xfrm xmlns:a="http://schemas.openxmlformats.org/drawingml/2006/main">
              <a:off x="3657600" y="838200"/>
              <a:ext cx="40005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9</xdr:col>
      <xdr:colOff>0</xdr:colOff>
      <xdr:row>3</xdr:row>
      <xdr:rowOff>0</xdr:rowOff>
    </xdr:from>
    <xdr:ext cx="962024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55 CuadroTexto">
              <a:extLst>
                <a:ext uri="{FF2B5EF4-FFF2-40B4-BE49-F238E27FC236}">
                  <a16:creationId xmlns:a16="http://schemas.microsoft.com/office/drawing/2014/main" id="{00000000-0008-0000-0300-000038000000}"/>
                </a:ext>
              </a:extLst>
            </xdr:cNvPr>
            <xdr:cNvSpPr txBox="1"/>
          </xdr:nvSpPr>
          <xdr:spPr>
            <a:xfrm>
              <a:off x="5781675" y="61912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acc>
                        <m:r>
                          <m:rPr>
                            <m:nor/>
                          </m:rPr>
                          <a:rPr lang="es-ES" sz="1400" b="0" i="0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e>
                      <m:sup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  <m:sSub>
                      <m:sSub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6" name="55 CuadroTexto"/>
            <xdr:cNvSpPr txBox="1"/>
          </xdr:nvSpPr>
          <xdr:spPr>
            <a:xfrm>
              <a:off x="5781675" y="61912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:r>
                <a:rPr lang="es-ES" sz="14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〖〖(𝑥〗_𝑖−𝑥 ̅") " 〗^3 𝑛_𝑖</a:t>
              </a:r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10</xdr:col>
      <xdr:colOff>0</xdr:colOff>
      <xdr:row>3</xdr:row>
      <xdr:rowOff>0</xdr:rowOff>
    </xdr:from>
    <xdr:ext cx="962024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56 CuadroTexto">
              <a:extLst>
                <a:ext uri="{FF2B5EF4-FFF2-40B4-BE49-F238E27FC236}">
                  <a16:creationId xmlns:a16="http://schemas.microsoft.com/office/drawing/2014/main" id="{00000000-0008-0000-0300-000039000000}"/>
                </a:ext>
              </a:extLst>
            </xdr:cNvPr>
            <xdr:cNvSpPr txBox="1"/>
          </xdr:nvSpPr>
          <xdr:spPr>
            <a:xfrm>
              <a:off x="6762750" y="61912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ES" sz="14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acc>
                        <m:r>
                          <m:rPr>
                            <m:nor/>
                          </m:rPr>
                          <a:rPr lang="es-ES" sz="1400" b="0" i="0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e>
                      <m:sup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  <m:sSub>
                      <m:sSubPr>
                        <m:ctrlPr>
                          <a:rPr lang="es-E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7" name="56 CuadroTexto"/>
            <xdr:cNvSpPr txBox="1"/>
          </xdr:nvSpPr>
          <xdr:spPr>
            <a:xfrm>
              <a:off x="6762750" y="619125"/>
              <a:ext cx="962024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/>
              <a:r>
                <a:rPr lang="es-ES" sz="14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〖〖(𝑥〗_𝑖−𝑥 ̅") " 〗^4 𝑛_𝑖</a:t>
              </a:r>
              <a:endParaRPr lang="es-ES" sz="14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192405</xdr:colOff>
      <xdr:row>8</xdr:row>
      <xdr:rowOff>41855</xdr:rowOff>
    </xdr:from>
    <xdr:ext cx="419100" cy="3230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2646045" y="1520135"/>
              <a:ext cx="419100" cy="3230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>
              <a:off x="2646045" y="1520135"/>
              <a:ext cx="419100" cy="3230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:r>
                <a:rPr lang="es-ES" sz="1400" b="0" i="0">
                  <a:latin typeface="Cambria Math"/>
                </a:rPr>
                <a:t>𝑥_𝑖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2</xdr:col>
      <xdr:colOff>85725</xdr:colOff>
      <xdr:row>8</xdr:row>
      <xdr:rowOff>38100</xdr:rowOff>
    </xdr:from>
    <xdr:ext cx="45720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2 CuadroTexto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1162050" y="657225"/>
              <a:ext cx="45720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3" name="2 CuadroTexto"/>
            <xdr:cNvSpPr txBox="1"/>
          </xdr:nvSpPr>
          <xdr:spPr>
            <a:xfrm xmlns:a="http://schemas.openxmlformats.org/drawingml/2006/main">
              <a:off x="1162050" y="657225"/>
              <a:ext cx="45720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𝐿_𝑖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8</xdr:col>
      <xdr:colOff>161925</xdr:colOff>
      <xdr:row>8</xdr:row>
      <xdr:rowOff>28575</xdr:rowOff>
    </xdr:from>
    <xdr:ext cx="45720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4 CuadroTexto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5755005" y="1506855"/>
              <a:ext cx="45720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𝑝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5" name="4 CuadroTexto"/>
            <xdr:cNvSpPr txBox="1"/>
          </xdr:nvSpPr>
          <xdr:spPr>
            <a:xfrm>
              <a:off x="5755005" y="1506855"/>
              <a:ext cx="45720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s-ES" sz="1400" b="0" i="0">
                  <a:latin typeface="Cambria Math"/>
                </a:rPr>
                <a:t>𝑝_𝑖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9</xdr:col>
      <xdr:colOff>253365</xdr:colOff>
      <xdr:row>8</xdr:row>
      <xdr:rowOff>30480</xdr:rowOff>
    </xdr:from>
    <xdr:ext cx="428625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5 CuadroTexto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6631305" y="1508760"/>
              <a:ext cx="428625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𝑞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6" name="5 CuadroTexto"/>
            <xdr:cNvSpPr txBox="1"/>
          </xdr:nvSpPr>
          <xdr:spPr>
            <a:xfrm>
              <a:off x="6631305" y="1508760"/>
              <a:ext cx="428625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s-ES" sz="1400" b="0" i="0">
                  <a:latin typeface="Cambria Math"/>
                </a:rPr>
                <a:t>𝑞_𝑖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1</xdr:col>
      <xdr:colOff>85725</xdr:colOff>
      <xdr:row>8</xdr:row>
      <xdr:rowOff>38100</xdr:rowOff>
    </xdr:from>
    <xdr:ext cx="4381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6 CuadroTexto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581025" y="657225"/>
              <a:ext cx="4381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  <m:r>
                          <a:rPr lang="es-ES" sz="1400" b="0" i="1">
                            <a:latin typeface="Cambria Math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7" name="6 CuadroTexto"/>
            <xdr:cNvSpPr txBox="1"/>
          </xdr:nvSpPr>
          <xdr:spPr>
            <a:xfrm xmlns:a="http://schemas.openxmlformats.org/drawingml/2006/main">
              <a:off x="581025" y="657225"/>
              <a:ext cx="438150" cy="3305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ctr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lang="es-ES" sz="1400" b="0" i="0">
                  <a:latin typeface="Cambria Math"/>
                </a:rPr>
                <a:t>𝐿_(𝑖−1)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5</xdr:col>
      <xdr:colOff>133350</xdr:colOff>
      <xdr:row>8</xdr:row>
      <xdr:rowOff>32385</xdr:rowOff>
    </xdr:from>
    <xdr:ext cx="5143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7 CuadroTexto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3371850" y="1510665"/>
              <a:ext cx="5143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𝑥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8" name="7 CuadroTexto"/>
            <xdr:cNvSpPr txBox="1"/>
          </xdr:nvSpPr>
          <xdr:spPr>
            <a:xfrm>
              <a:off x="3371850" y="1510665"/>
              <a:ext cx="5143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s-ES" sz="1400" b="0" i="0">
                  <a:latin typeface="Cambria Math"/>
                </a:rPr>
                <a:t>𝑥_𝑖 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3</xdr:col>
      <xdr:colOff>276225</xdr:colOff>
      <xdr:row>8</xdr:row>
      <xdr:rowOff>28575</xdr:rowOff>
    </xdr:from>
    <xdr:ext cx="4000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10 CuadroTexto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 txBox="1"/>
          </xdr:nvSpPr>
          <xdr:spPr>
            <a:xfrm>
              <a:off x="1895475" y="1543050"/>
              <a:ext cx="4000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𝑛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1" name="10 CuadroTexto"/>
            <xdr:cNvSpPr txBox="1"/>
          </xdr:nvSpPr>
          <xdr:spPr>
            <a:xfrm>
              <a:off x="1895475" y="1543050"/>
              <a:ext cx="4000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es-ES" sz="1400" b="0" i="0">
                  <a:latin typeface="Cambria Math"/>
                </a:rPr>
                <a:t>𝑛_𝑖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6</xdr:col>
      <xdr:colOff>194310</xdr:colOff>
      <xdr:row>8</xdr:row>
      <xdr:rowOff>38100</xdr:rowOff>
    </xdr:from>
    <xdr:ext cx="400050" cy="3305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13 CuadroTexto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4217670" y="1516380"/>
              <a:ext cx="4000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4" name="13 CuadroTexto"/>
            <xdr:cNvSpPr txBox="1"/>
          </xdr:nvSpPr>
          <xdr:spPr>
            <a:xfrm>
              <a:off x="4217670" y="1516380"/>
              <a:ext cx="400050" cy="330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es-ES" sz="1400" b="0" i="0">
                  <a:latin typeface="Cambria Math"/>
                </a:rPr>
                <a:t>𝑁_𝑖</a:t>
              </a:r>
              <a:endParaRPr lang="es-ES" sz="1400"/>
            </a:p>
          </xdr:txBody>
        </xdr:sp>
      </mc:Fallback>
    </mc:AlternateContent>
    <xdr:clientData/>
  </xdr:oneCellAnchor>
  <xdr:oneCellAnchor>
    <xdr:from>
      <xdr:col>7</xdr:col>
      <xdr:colOff>198120</xdr:colOff>
      <xdr:row>8</xdr:row>
      <xdr:rowOff>38100</xdr:rowOff>
    </xdr:from>
    <xdr:ext cx="419100" cy="3230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14 CuadroTexto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 txBox="1"/>
          </xdr:nvSpPr>
          <xdr:spPr>
            <a:xfrm>
              <a:off x="5006340" y="1516380"/>
              <a:ext cx="419100" cy="3230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latin typeface="Cambria Math"/>
                          </a:rPr>
                          <m:t>𝑢</m:t>
                        </m:r>
                      </m:e>
                      <m:sub>
                        <m:r>
                          <a:rPr lang="es-ES" sz="14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/>
            </a:p>
          </xdr:txBody>
        </xdr:sp>
      </mc:Choice>
      <mc:Fallback xmlns="">
        <xdr:sp macro="" textlink="">
          <xdr:nvSpPr>
            <xdr:cNvPr id="15" name="14 CuadroTexto"/>
            <xdr:cNvSpPr txBox="1"/>
          </xdr:nvSpPr>
          <xdr:spPr>
            <a:xfrm>
              <a:off x="5006340" y="1516380"/>
              <a:ext cx="419100" cy="3230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/>
              <a:r>
                <a:rPr lang="es-ES" sz="1400" b="0" i="0">
                  <a:latin typeface="Cambria Math"/>
                </a:rPr>
                <a:t>𝑢_𝑖</a:t>
              </a:r>
              <a:endParaRPr lang="es-ES" sz="14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</xdr:row>
          <xdr:rowOff>30480</xdr:rowOff>
        </xdr:from>
        <xdr:to>
          <xdr:col>4</xdr:col>
          <xdr:colOff>457200</xdr:colOff>
          <xdr:row>5</xdr:row>
          <xdr:rowOff>144780</xdr:rowOff>
        </xdr:to>
        <xdr:sp macro="" textlink="">
          <xdr:nvSpPr>
            <xdr:cNvPr id="5123" name="Group Box 3" descr="CONOCEMOS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CONOCEMOS: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</xdr:row>
          <xdr:rowOff>0</xdr:rowOff>
        </xdr:from>
        <xdr:to>
          <xdr:col>3</xdr:col>
          <xdr:colOff>723900</xdr:colOff>
          <xdr:row>3</xdr:row>
          <xdr:rowOff>30480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Valor de la variable, Li.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</xdr:row>
          <xdr:rowOff>0</xdr:rowOff>
        </xdr:from>
        <xdr:to>
          <xdr:col>3</xdr:col>
          <xdr:colOff>723900</xdr:colOff>
          <xdr:row>4</xdr:row>
          <xdr:rowOff>30480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Porcentaje, pi.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0</xdr:rowOff>
        </xdr:from>
        <xdr:to>
          <xdr:col>3</xdr:col>
          <xdr:colOff>723900</xdr:colOff>
          <xdr:row>5</xdr:row>
          <xdr:rowOff>30480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Porcentaje, qi.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</xdr:row>
          <xdr:rowOff>30480</xdr:rowOff>
        </xdr:from>
        <xdr:to>
          <xdr:col>9</xdr:col>
          <xdr:colOff>601980</xdr:colOff>
          <xdr:row>5</xdr:row>
          <xdr:rowOff>144780</xdr:rowOff>
        </xdr:to>
        <xdr:sp macro="" textlink="">
          <xdr:nvSpPr>
            <xdr:cNvPr id="5127" name="Group Box 7" descr="QUEREMOS ESTIMAR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QUEREMOS ESTIMAR: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</xdr:row>
          <xdr:rowOff>7620</xdr:rowOff>
        </xdr:from>
        <xdr:to>
          <xdr:col>8</xdr:col>
          <xdr:colOff>723900</xdr:colOff>
          <xdr:row>3</xdr:row>
          <xdr:rowOff>38100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Valor de la variable, Li.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</xdr:row>
          <xdr:rowOff>0</xdr:rowOff>
        </xdr:from>
        <xdr:to>
          <xdr:col>8</xdr:col>
          <xdr:colOff>723900</xdr:colOff>
          <xdr:row>4</xdr:row>
          <xdr:rowOff>30480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Porcentaje, pi.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4</xdr:row>
          <xdr:rowOff>0</xdr:rowOff>
        </xdr:from>
        <xdr:to>
          <xdr:col>8</xdr:col>
          <xdr:colOff>723900</xdr:colOff>
          <xdr:row>5</xdr:row>
          <xdr:rowOff>30480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Porcentaje, qi.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361950</xdr:colOff>
      <xdr:row>24</xdr:row>
      <xdr:rowOff>104775</xdr:rowOff>
    </xdr:from>
    <xdr:to>
      <xdr:col>8</xdr:col>
      <xdr:colOff>400050</xdr:colOff>
      <xdr:row>30</xdr:row>
      <xdr:rowOff>104775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V="1">
          <a:off x="2647950" y="3971925"/>
          <a:ext cx="3086100" cy="11430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30</xdr:row>
      <xdr:rowOff>104775</xdr:rowOff>
    </xdr:from>
    <xdr:to>
      <xdr:col>4</xdr:col>
      <xdr:colOff>361951</xdr:colOff>
      <xdr:row>31</xdr:row>
      <xdr:rowOff>180975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>
          <a:off x="200025" y="5124450"/>
          <a:ext cx="1876426" cy="2667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22</xdr:row>
      <xdr:rowOff>19050</xdr:rowOff>
    </xdr:from>
    <xdr:to>
      <xdr:col>9</xdr:col>
      <xdr:colOff>200025</xdr:colOff>
      <xdr:row>24</xdr:row>
      <xdr:rowOff>104775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flipV="1">
          <a:off x="5162550" y="3457575"/>
          <a:ext cx="561975" cy="5143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24</xdr:row>
      <xdr:rowOff>95250</xdr:rowOff>
    </xdr:from>
    <xdr:to>
      <xdr:col>8</xdr:col>
      <xdr:colOff>400050</xdr:colOff>
      <xdr:row>30</xdr:row>
      <xdr:rowOff>95250</xdr:rowOff>
    </xdr:to>
    <xdr:cxnSp macro="">
      <xdr:nvCxnSpPr>
        <xdr:cNvPr id="20" name="19 Conector rec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5734050" y="3962400"/>
          <a:ext cx="0" cy="1143000"/>
        </a:xfrm>
        <a:prstGeom prst="line">
          <a:avLst/>
        </a:prstGeom>
        <a:ln w="25400">
          <a:solidFill>
            <a:schemeClr val="accent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30</xdr:row>
      <xdr:rowOff>95250</xdr:rowOff>
    </xdr:from>
    <xdr:to>
      <xdr:col>8</xdr:col>
      <xdr:colOff>381001</xdr:colOff>
      <xdr:row>30</xdr:row>
      <xdr:rowOff>104775</xdr:rowOff>
    </xdr:to>
    <xdr:cxnSp macro="">
      <xdr:nvCxnSpPr>
        <xdr:cNvPr id="34" name="33 Conector rect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>
          <a:endCxn id="28" idx="2"/>
        </xdr:cNvCxnSpPr>
      </xdr:nvCxnSpPr>
      <xdr:spPr>
        <a:xfrm flipH="1">
          <a:off x="2628900" y="5105400"/>
          <a:ext cx="3086101" cy="9525"/>
        </a:xfrm>
        <a:prstGeom prst="line">
          <a:avLst/>
        </a:prstGeom>
        <a:ln w="25400">
          <a:solidFill>
            <a:schemeClr val="accent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30</xdr:row>
      <xdr:rowOff>76200</xdr:rowOff>
    </xdr:from>
    <xdr:to>
      <xdr:col>4</xdr:col>
      <xdr:colOff>390525</xdr:colOff>
      <xdr:row>30</xdr:row>
      <xdr:rowOff>133350</xdr:rowOff>
    </xdr:to>
    <xdr:sp macro="" textlink="">
      <xdr:nvSpPr>
        <xdr:cNvPr id="28" name="27 Elipse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628900" y="5086350"/>
          <a:ext cx="47625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381000</xdr:colOff>
      <xdr:row>24</xdr:row>
      <xdr:rowOff>76200</xdr:rowOff>
    </xdr:from>
    <xdr:to>
      <xdr:col>8</xdr:col>
      <xdr:colOff>426719</xdr:colOff>
      <xdr:row>24</xdr:row>
      <xdr:rowOff>123825</xdr:rowOff>
    </xdr:to>
    <xdr:sp macro="" textlink="">
      <xdr:nvSpPr>
        <xdr:cNvPr id="39" name="38 Elipse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5143500" y="3943350"/>
          <a:ext cx="45719" cy="476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6</xdr:col>
      <xdr:colOff>381000</xdr:colOff>
      <xdr:row>27</xdr:row>
      <xdr:rowOff>76200</xdr:rowOff>
    </xdr:from>
    <xdr:to>
      <xdr:col>6</xdr:col>
      <xdr:colOff>426719</xdr:colOff>
      <xdr:row>27</xdr:row>
      <xdr:rowOff>121919</xdr:rowOff>
    </xdr:to>
    <xdr:sp macro="" textlink="">
      <xdr:nvSpPr>
        <xdr:cNvPr id="40" name="39 Elipse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4286250" y="4495800"/>
          <a:ext cx="45719" cy="45719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2</xdr:col>
      <xdr:colOff>838200</xdr:colOff>
      <xdr:row>24</xdr:row>
      <xdr:rowOff>104775</xdr:rowOff>
    </xdr:from>
    <xdr:to>
      <xdr:col>8</xdr:col>
      <xdr:colOff>400052</xdr:colOff>
      <xdr:row>24</xdr:row>
      <xdr:rowOff>114300</xdr:rowOff>
    </xdr:to>
    <xdr:cxnSp macro="">
      <xdr:nvCxnSpPr>
        <xdr:cNvPr id="42" name="41 Conector rect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CxnSpPr/>
      </xdr:nvCxnSpPr>
      <xdr:spPr>
        <a:xfrm flipH="1" flipV="1">
          <a:off x="1781175" y="4914900"/>
          <a:ext cx="4648202" cy="9525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390526</xdr:colOff>
      <xdr:row>30</xdr:row>
      <xdr:rowOff>123826</xdr:rowOff>
    </xdr:from>
    <xdr:to>
      <xdr:col>6</xdr:col>
      <xdr:colOff>409575</xdr:colOff>
      <xdr:row>30</xdr:row>
      <xdr:rowOff>142875</xdr:rowOff>
    </xdr:to>
    <xdr:cxnSp macro="">
      <xdr:nvCxnSpPr>
        <xdr:cNvPr id="43" name="42 Conector rect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CxnSpPr/>
      </xdr:nvCxnSpPr>
      <xdr:spPr>
        <a:xfrm flipH="1" flipV="1">
          <a:off x="2676526" y="5133976"/>
          <a:ext cx="1543049" cy="19049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27</xdr:row>
      <xdr:rowOff>115224</xdr:rowOff>
    </xdr:from>
    <xdr:to>
      <xdr:col>6</xdr:col>
      <xdr:colOff>420024</xdr:colOff>
      <xdr:row>30</xdr:row>
      <xdr:rowOff>123826</xdr:rowOff>
    </xdr:to>
    <xdr:cxnSp macro="">
      <xdr:nvCxnSpPr>
        <xdr:cNvPr id="45" name="44 Conector rect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CxnSpPr>
          <a:endCxn id="40" idx="5"/>
        </xdr:cNvCxnSpPr>
      </xdr:nvCxnSpPr>
      <xdr:spPr>
        <a:xfrm flipV="1">
          <a:off x="3648075" y="4563399"/>
          <a:ext cx="10449" cy="580102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838200</xdr:colOff>
      <xdr:row>27</xdr:row>
      <xdr:rowOff>95250</xdr:rowOff>
    </xdr:from>
    <xdr:to>
      <xdr:col>6</xdr:col>
      <xdr:colOff>381000</xdr:colOff>
      <xdr:row>27</xdr:row>
      <xdr:rowOff>99060</xdr:rowOff>
    </xdr:to>
    <xdr:cxnSp macro="">
      <xdr:nvCxnSpPr>
        <xdr:cNvPr id="55" name="54 Conector rec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CxnSpPr>
          <a:stCxn id="40" idx="2"/>
        </xdr:cNvCxnSpPr>
      </xdr:nvCxnSpPr>
      <xdr:spPr>
        <a:xfrm flipH="1" flipV="1">
          <a:off x="1781175" y="5553075"/>
          <a:ext cx="2933700" cy="381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30</xdr:row>
      <xdr:rowOff>95250</xdr:rowOff>
    </xdr:from>
    <xdr:to>
      <xdr:col>4</xdr:col>
      <xdr:colOff>342900</xdr:colOff>
      <xdr:row>30</xdr:row>
      <xdr:rowOff>104775</xdr:rowOff>
    </xdr:to>
    <xdr:cxnSp macro="">
      <xdr:nvCxnSpPr>
        <xdr:cNvPr id="57" name="56 Conector rect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CxnSpPr>
          <a:stCxn id="28" idx="2"/>
        </xdr:cNvCxnSpPr>
      </xdr:nvCxnSpPr>
      <xdr:spPr>
        <a:xfrm flipH="1" flipV="1">
          <a:off x="1771650" y="6181725"/>
          <a:ext cx="1209675" cy="9525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30</xdr:row>
      <xdr:rowOff>133350</xdr:rowOff>
    </xdr:from>
    <xdr:to>
      <xdr:col>8</xdr:col>
      <xdr:colOff>400050</xdr:colOff>
      <xdr:row>34</xdr:row>
      <xdr:rowOff>28575</xdr:rowOff>
    </xdr:to>
    <xdr:cxnSp macro="">
      <xdr:nvCxnSpPr>
        <xdr:cNvPr id="59" name="58 Conector rect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CxnSpPr/>
      </xdr:nvCxnSpPr>
      <xdr:spPr>
        <a:xfrm flipV="1">
          <a:off x="5734050" y="5143500"/>
          <a:ext cx="0" cy="276225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30</xdr:row>
      <xdr:rowOff>161927</xdr:rowOff>
    </xdr:from>
    <xdr:to>
      <xdr:col>6</xdr:col>
      <xdr:colOff>409575</xdr:colOff>
      <xdr:row>34</xdr:row>
      <xdr:rowOff>57150</xdr:rowOff>
    </xdr:to>
    <xdr:cxnSp macro="">
      <xdr:nvCxnSpPr>
        <xdr:cNvPr id="65" name="64 Conector recto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CxnSpPr/>
      </xdr:nvCxnSpPr>
      <xdr:spPr>
        <a:xfrm flipV="1">
          <a:off x="4219575" y="5172077"/>
          <a:ext cx="0" cy="276223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30</xdr:row>
      <xdr:rowOff>161925</xdr:rowOff>
    </xdr:from>
    <xdr:to>
      <xdr:col>4</xdr:col>
      <xdr:colOff>361950</xdr:colOff>
      <xdr:row>34</xdr:row>
      <xdr:rowOff>57150</xdr:rowOff>
    </xdr:to>
    <xdr:cxnSp macro="">
      <xdr:nvCxnSpPr>
        <xdr:cNvPr id="66" name="65 Conector recto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CxnSpPr/>
      </xdr:nvCxnSpPr>
      <xdr:spPr>
        <a:xfrm flipV="1">
          <a:off x="2647950" y="5172075"/>
          <a:ext cx="0" cy="276225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518160</xdr:colOff>
      <xdr:row>43</xdr:row>
      <xdr:rowOff>91440</xdr:rowOff>
    </xdr:from>
    <xdr:to>
      <xdr:col>7</xdr:col>
      <xdr:colOff>426720</xdr:colOff>
      <xdr:row>43</xdr:row>
      <xdr:rowOff>106680</xdr:rowOff>
    </xdr:to>
    <xdr:cxnSp macro="">
      <xdr:nvCxnSpPr>
        <xdr:cNvPr id="35" name="4 Conector rect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>
        <a:xfrm flipV="1">
          <a:off x="2354580" y="8953500"/>
          <a:ext cx="3383280" cy="15240"/>
        </a:xfrm>
        <a:prstGeom prst="line">
          <a:avLst/>
        </a:prstGeom>
        <a:ln w="28575">
          <a:solidFill>
            <a:schemeClr val="accent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468313</xdr:colOff>
      <xdr:row>42</xdr:row>
      <xdr:rowOff>0</xdr:rowOff>
    </xdr:from>
    <xdr:to>
      <xdr:col>3</xdr:col>
      <xdr:colOff>468313</xdr:colOff>
      <xdr:row>43</xdr:row>
      <xdr:rowOff>166688</xdr:rowOff>
    </xdr:to>
    <xdr:cxnSp macro="">
      <xdr:nvCxnSpPr>
        <xdr:cNvPr id="37" name="7 Conector rect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CxnSpPr/>
      </xdr:nvCxnSpPr>
      <xdr:spPr>
        <a:xfrm flipV="1">
          <a:off x="2259013" y="8513763"/>
          <a:ext cx="0" cy="358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404813</xdr:colOff>
      <xdr:row>42</xdr:row>
      <xdr:rowOff>0</xdr:rowOff>
    </xdr:from>
    <xdr:to>
      <xdr:col>5</xdr:col>
      <xdr:colOff>404813</xdr:colOff>
      <xdr:row>43</xdr:row>
      <xdr:rowOff>168275</xdr:rowOff>
    </xdr:to>
    <xdr:cxnSp macro="">
      <xdr:nvCxnSpPr>
        <xdr:cNvPr id="38" name="8 Conector rect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CxnSpPr/>
      </xdr:nvCxnSpPr>
      <xdr:spPr>
        <a:xfrm flipV="1">
          <a:off x="3890963" y="8513763"/>
          <a:ext cx="0" cy="3603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365125</xdr:colOff>
      <xdr:row>42</xdr:row>
      <xdr:rowOff>0</xdr:rowOff>
    </xdr:from>
    <xdr:to>
      <xdr:col>7</xdr:col>
      <xdr:colOff>365125</xdr:colOff>
      <xdr:row>43</xdr:row>
      <xdr:rowOff>166688</xdr:rowOff>
    </xdr:to>
    <xdr:cxnSp macro="">
      <xdr:nvCxnSpPr>
        <xdr:cNvPr id="41" name="9 Conector rect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CxnSpPr/>
      </xdr:nvCxnSpPr>
      <xdr:spPr>
        <a:xfrm flipV="1">
          <a:off x="5546725" y="8513763"/>
          <a:ext cx="0" cy="358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36513</xdr:colOff>
      <xdr:row>42</xdr:row>
      <xdr:rowOff>101600</xdr:rowOff>
    </xdr:from>
    <xdr:to>
      <xdr:col>3</xdr:col>
      <xdr:colOff>468313</xdr:colOff>
      <xdr:row>42</xdr:row>
      <xdr:rowOff>101600</xdr:rowOff>
    </xdr:to>
    <xdr:cxnSp macro="">
      <xdr:nvCxnSpPr>
        <xdr:cNvPr id="44" name="11 Conector recto de flecha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CxnSpPr/>
      </xdr:nvCxnSpPr>
      <xdr:spPr>
        <a:xfrm flipH="1">
          <a:off x="1827213" y="8616950"/>
          <a:ext cx="431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825500</xdr:colOff>
      <xdr:row>42</xdr:row>
      <xdr:rowOff>101600</xdr:rowOff>
    </xdr:from>
    <xdr:to>
      <xdr:col>5</xdr:col>
      <xdr:colOff>411163</xdr:colOff>
      <xdr:row>42</xdr:row>
      <xdr:rowOff>101600</xdr:rowOff>
    </xdr:to>
    <xdr:cxnSp macro="">
      <xdr:nvCxnSpPr>
        <xdr:cNvPr id="46" name="12 Conector recto de flecha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CxnSpPr/>
      </xdr:nvCxnSpPr>
      <xdr:spPr>
        <a:xfrm flipH="1">
          <a:off x="3463925" y="8616950"/>
          <a:ext cx="43338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779463</xdr:colOff>
      <xdr:row>42</xdr:row>
      <xdr:rowOff>101600</xdr:rowOff>
    </xdr:from>
    <xdr:to>
      <xdr:col>7</xdr:col>
      <xdr:colOff>365125</xdr:colOff>
      <xdr:row>42</xdr:row>
      <xdr:rowOff>101600</xdr:rowOff>
    </xdr:to>
    <xdr:cxnSp macro="">
      <xdr:nvCxnSpPr>
        <xdr:cNvPr id="47" name="13 Conector recto de flecha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CxnSpPr/>
      </xdr:nvCxnSpPr>
      <xdr:spPr>
        <a:xfrm flipH="1">
          <a:off x="5113338" y="8559800"/>
          <a:ext cx="433387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45</xdr:row>
      <xdr:rowOff>26988</xdr:rowOff>
    </xdr:from>
    <xdr:to>
      <xdr:col>5</xdr:col>
      <xdr:colOff>390528</xdr:colOff>
      <xdr:row>47</xdr:row>
      <xdr:rowOff>6350</xdr:rowOff>
    </xdr:to>
    <xdr:sp macro="" textlink="">
      <xdr:nvSpPr>
        <xdr:cNvPr id="48" name="18 Abrir llave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 rot="16200000">
          <a:off x="2896396" y="8503442"/>
          <a:ext cx="360362" cy="1600203"/>
        </a:xfrm>
        <a:prstGeom prst="leftBrace">
          <a:avLst/>
        </a:prstGeom>
        <a:ln w="158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anchor="ctr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defRPr/>
          </a:pPr>
          <a:endParaRPr lang="es-ES"/>
        </a:p>
      </xdr:txBody>
    </xdr:sp>
    <xdr:clientData/>
  </xdr:twoCellAnchor>
  <xdr:twoCellAnchor>
    <xdr:from>
      <xdr:col>3</xdr:col>
      <xdr:colOff>492127</xdr:colOff>
      <xdr:row>47</xdr:row>
      <xdr:rowOff>185738</xdr:rowOff>
    </xdr:from>
    <xdr:to>
      <xdr:col>7</xdr:col>
      <xdr:colOff>361953</xdr:colOff>
      <xdr:row>49</xdr:row>
      <xdr:rowOff>117475</xdr:rowOff>
    </xdr:to>
    <xdr:sp macro="" textlink="">
      <xdr:nvSpPr>
        <xdr:cNvPr id="52" name="20 Abrir llave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 rot="16200000">
          <a:off x="3733009" y="8498681"/>
          <a:ext cx="360362" cy="3260726"/>
        </a:xfrm>
        <a:prstGeom prst="leftBrace">
          <a:avLst/>
        </a:prstGeom>
        <a:ln w="15875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anchor="ctr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defRPr/>
          </a:pPr>
          <a:endParaRPr lang="es-ES"/>
        </a:p>
      </xdr:txBody>
    </xdr:sp>
    <xdr:clientData/>
  </xdr:twoCellAnchor>
  <xdr:twoCellAnchor>
    <xdr:from>
      <xdr:col>3</xdr:col>
      <xdr:colOff>464820</xdr:colOff>
      <xdr:row>43</xdr:row>
      <xdr:rowOff>104775</xdr:rowOff>
    </xdr:from>
    <xdr:to>
      <xdr:col>5</xdr:col>
      <xdr:colOff>417195</xdr:colOff>
      <xdr:row>43</xdr:row>
      <xdr:rowOff>121920</xdr:rowOff>
    </xdr:to>
    <xdr:cxnSp macro="">
      <xdr:nvCxnSpPr>
        <xdr:cNvPr id="54" name="16 Conector rect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CxnSpPr/>
      </xdr:nvCxnSpPr>
      <xdr:spPr>
        <a:xfrm flipV="1">
          <a:off x="2301240" y="8966835"/>
          <a:ext cx="1689735" cy="17145"/>
        </a:xfrm>
        <a:prstGeom prst="line">
          <a:avLst/>
        </a:prstGeom>
        <a:ln w="28575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39</xdr:row>
      <xdr:rowOff>9525</xdr:rowOff>
    </xdr:from>
    <xdr:to>
      <xdr:col>5</xdr:col>
      <xdr:colOff>400053</xdr:colOff>
      <xdr:row>40</xdr:row>
      <xdr:rowOff>179387</xdr:rowOff>
    </xdr:to>
    <xdr:sp macro="" textlink="">
      <xdr:nvSpPr>
        <xdr:cNvPr id="58" name="18 Abrir llave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 rot="5400000">
          <a:off x="2905921" y="7085804"/>
          <a:ext cx="360362" cy="1600203"/>
        </a:xfrm>
        <a:prstGeom prst="leftBrace">
          <a:avLst/>
        </a:prstGeom>
        <a:ln w="158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anchor="ctr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defRPr/>
          </a:pPr>
          <a:endParaRPr lang="es-ES"/>
        </a:p>
      </xdr:txBody>
    </xdr:sp>
    <xdr:clientData/>
  </xdr:twoCellAnchor>
  <xdr:twoCellAnchor>
    <xdr:from>
      <xdr:col>3</xdr:col>
      <xdr:colOff>466725</xdr:colOff>
      <xdr:row>37</xdr:row>
      <xdr:rowOff>0</xdr:rowOff>
    </xdr:from>
    <xdr:to>
      <xdr:col>7</xdr:col>
      <xdr:colOff>336551</xdr:colOff>
      <xdr:row>38</xdr:row>
      <xdr:rowOff>169862</xdr:rowOff>
    </xdr:to>
    <xdr:sp macro="" textlink="">
      <xdr:nvSpPr>
        <xdr:cNvPr id="60" name="20 Abrir llave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 rot="5400000">
          <a:off x="3707607" y="6246018"/>
          <a:ext cx="360362" cy="3260726"/>
        </a:xfrm>
        <a:prstGeom prst="leftBrace">
          <a:avLst/>
        </a:prstGeom>
        <a:ln w="15875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anchor="ctr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defRPr/>
          </a:pPr>
          <a:endParaRPr lang="es-ES"/>
        </a:p>
      </xdr:txBody>
    </xdr:sp>
    <xdr:clientData/>
  </xdr:twoCellAnchor>
  <xdr:twoCellAnchor>
    <xdr:from>
      <xdr:col>7</xdr:col>
      <xdr:colOff>373380</xdr:colOff>
      <xdr:row>43</xdr:row>
      <xdr:rowOff>83820</xdr:rowOff>
    </xdr:from>
    <xdr:to>
      <xdr:col>9</xdr:col>
      <xdr:colOff>266700</xdr:colOff>
      <xdr:row>43</xdr:row>
      <xdr:rowOff>91440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F47D289A-1AB6-6858-D457-47B44822B40A}"/>
            </a:ext>
          </a:extLst>
        </xdr:cNvPr>
        <xdr:cNvCxnSpPr/>
      </xdr:nvCxnSpPr>
      <xdr:spPr>
        <a:xfrm flipH="1" flipV="1">
          <a:off x="5684520" y="8945880"/>
          <a:ext cx="1630680" cy="7620"/>
        </a:xfrm>
        <a:prstGeom prst="line">
          <a:avLst/>
        </a:prstGeom>
        <a:ln w="34925">
          <a:solidFill>
            <a:schemeClr val="accent1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556260</xdr:colOff>
      <xdr:row>43</xdr:row>
      <xdr:rowOff>99060</xdr:rowOff>
    </xdr:from>
    <xdr:to>
      <xdr:col>3</xdr:col>
      <xdr:colOff>449580</xdr:colOff>
      <xdr:row>43</xdr:row>
      <xdr:rowOff>106680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76C467F1-4693-4316-BDDB-62D835B41B49}"/>
            </a:ext>
          </a:extLst>
        </xdr:cNvPr>
        <xdr:cNvCxnSpPr/>
      </xdr:nvCxnSpPr>
      <xdr:spPr>
        <a:xfrm flipH="1" flipV="1">
          <a:off x="655320" y="8961120"/>
          <a:ext cx="1630680" cy="7620"/>
        </a:xfrm>
        <a:prstGeom prst="line">
          <a:avLst/>
        </a:prstGeom>
        <a:ln w="34925">
          <a:solidFill>
            <a:schemeClr val="accent1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3"/>
  <sheetViews>
    <sheetView showGridLines="0" showRowColHeaders="0" workbookViewId="0"/>
  </sheetViews>
  <sheetFormatPr baseColWidth="10" defaultColWidth="11.44140625" defaultRowHeight="14.4" x14ac:dyDescent="0.3"/>
  <cols>
    <col min="1" max="1" width="4" style="4" customWidth="1"/>
    <col min="2" max="4" width="11.44140625" style="4"/>
    <col min="5" max="5" width="14.6640625" style="4" customWidth="1"/>
    <col min="6" max="6" width="15.109375" style="4" customWidth="1"/>
    <col min="7" max="7" width="4.88671875" style="4" customWidth="1"/>
    <col min="8" max="8" width="3" style="4" hidden="1" customWidth="1"/>
    <col min="9" max="10" width="3.88671875" style="4" hidden="1" customWidth="1"/>
    <col min="11" max="11" width="7.33203125" style="4" customWidth="1"/>
    <col min="12" max="16384" width="11.44140625" style="4"/>
  </cols>
  <sheetData>
    <row r="1" spans="2:14" x14ac:dyDescent="0.3">
      <c r="J1" s="65">
        <v>0</v>
      </c>
      <c r="L1" s="126" t="str">
        <f>IF(J1=0,"SIMÉTRICA",IF(OR(J1=1,J1=2,J1=2),"ASIMÉTRICA A LA IZQUIERDA","ASIMÉTRICA A LA DERECHA"))</f>
        <v>SIMÉTRICA</v>
      </c>
      <c r="M1" s="126"/>
      <c r="N1" s="126"/>
    </row>
    <row r="2" spans="2:14" x14ac:dyDescent="0.3">
      <c r="H2" s="66" t="s">
        <v>16</v>
      </c>
      <c r="I2" s="12"/>
      <c r="J2" s="12"/>
      <c r="L2" s="126"/>
      <c r="M2" s="126"/>
      <c r="N2" s="126"/>
    </row>
    <row r="3" spans="2:14" ht="34.5" customHeight="1" x14ac:dyDescent="5.35">
      <c r="B3" s="12"/>
      <c r="C3" s="12"/>
      <c r="D3" s="12"/>
      <c r="E3" s="23"/>
      <c r="F3" s="12" t="s">
        <v>0</v>
      </c>
      <c r="H3" s="66">
        <v>0</v>
      </c>
      <c r="I3" s="66" t="s">
        <v>14</v>
      </c>
      <c r="J3" s="66" t="s">
        <v>15</v>
      </c>
      <c r="M3" s="24">
        <f>F18/(E18^(3/2))</f>
        <v>0</v>
      </c>
    </row>
    <row r="4" spans="2:14" ht="15.6" x14ac:dyDescent="0.3">
      <c r="B4" s="25">
        <f>IF(OR(J1=0,J1=1,J1=2),10,"")</f>
        <v>10</v>
      </c>
      <c r="C4" s="25">
        <f>IF(OR(J1=0,J1=1,J1=2),1,"")</f>
        <v>1</v>
      </c>
      <c r="D4" s="12">
        <f>IF(B4="","",B4*C4)</f>
        <v>10</v>
      </c>
      <c r="E4" s="13">
        <f>IF(B4="","",((B4-$D$18)^2)*C4)</f>
        <v>3600</v>
      </c>
      <c r="F4" s="13">
        <f>IF(B4="","",((B4-$D$18)^3)*C4)</f>
        <v>-216000</v>
      </c>
      <c r="G4" s="16"/>
      <c r="H4" s="70">
        <f>IF(C4="",0,C4+H3)</f>
        <v>1</v>
      </c>
      <c r="I4" s="70" t="str">
        <f>IF(H4=$C$17/2,(B4+B5)/2,IF(AND(H4&gt;$C$17/2,H3&lt;$C$17/2),B4,""))</f>
        <v/>
      </c>
      <c r="J4" s="12" t="str">
        <f>IF(C4=MAX($C$4:$C$16),B4,"")</f>
        <v/>
      </c>
    </row>
    <row r="5" spans="2:14" ht="15.6" x14ac:dyDescent="0.3">
      <c r="B5" s="25">
        <f>IF(OR(J1=0,J1=1,J1=2),20,"")</f>
        <v>20</v>
      </c>
      <c r="C5" s="25">
        <f>IF(OR(J1=0,J1=1,J1=2),2,"")</f>
        <v>2</v>
      </c>
      <c r="D5" s="12">
        <f t="shared" ref="D5:D16" si="0">IF(B5="","",B5*C5)</f>
        <v>40</v>
      </c>
      <c r="E5" s="13">
        <f t="shared" ref="E5:E16" si="1">IF(B5="","",((B5-$D$18)^2)*C5)</f>
        <v>5000</v>
      </c>
      <c r="F5" s="13">
        <f t="shared" ref="F5:F16" si="2">IF(B5="","",((B5-$D$18)^3)*C5)</f>
        <v>-250000</v>
      </c>
      <c r="G5" s="16"/>
      <c r="H5" s="70">
        <f t="shared" ref="H5:H16" si="3">IF(C5="",0,C5+H4)</f>
        <v>3</v>
      </c>
      <c r="I5" s="70" t="str">
        <f t="shared" ref="I5:I16" si="4">IF(H5=$C$17/2,(B5+B6)/2,IF(AND(H5&gt;$C$17/2,H4&lt;$C$17/2),B5,""))</f>
        <v/>
      </c>
      <c r="J5" s="12" t="str">
        <f t="shared" ref="J5:J16" si="5">IF(C5=MAX($C$4:$C$16),B5,"")</f>
        <v/>
      </c>
    </row>
    <row r="6" spans="2:14" ht="15.6" x14ac:dyDescent="0.3">
      <c r="B6" s="25">
        <f>IF(OR(J1=0,J1=1,J1=2),30,"")</f>
        <v>30</v>
      </c>
      <c r="C6" s="25">
        <f>IF(OR(J1=0,J1=1,J1=2),3,"")</f>
        <v>3</v>
      </c>
      <c r="D6" s="12">
        <f t="shared" si="0"/>
        <v>90</v>
      </c>
      <c r="E6" s="13">
        <f t="shared" si="1"/>
        <v>4800</v>
      </c>
      <c r="F6" s="13">
        <f t="shared" si="2"/>
        <v>-192000</v>
      </c>
      <c r="G6" s="16"/>
      <c r="H6" s="70">
        <f t="shared" si="3"/>
        <v>6</v>
      </c>
      <c r="I6" s="70" t="str">
        <f t="shared" si="4"/>
        <v/>
      </c>
      <c r="J6" s="12" t="str">
        <f t="shared" si="5"/>
        <v/>
      </c>
    </row>
    <row r="7" spans="2:14" ht="15.6" x14ac:dyDescent="0.3">
      <c r="B7" s="25">
        <f>IF(J1=4,"",40)</f>
        <v>40</v>
      </c>
      <c r="C7" s="25">
        <f>IF(J1=4,"",5)</f>
        <v>5</v>
      </c>
      <c r="D7" s="12">
        <f t="shared" si="0"/>
        <v>200</v>
      </c>
      <c r="E7" s="13">
        <f t="shared" si="1"/>
        <v>4500</v>
      </c>
      <c r="F7" s="13">
        <f t="shared" si="2"/>
        <v>-135000</v>
      </c>
      <c r="G7" s="16"/>
      <c r="H7" s="70">
        <f t="shared" si="3"/>
        <v>11</v>
      </c>
      <c r="I7" s="70" t="str">
        <f t="shared" si="4"/>
        <v/>
      </c>
      <c r="J7" s="12" t="str">
        <f t="shared" si="5"/>
        <v/>
      </c>
    </row>
    <row r="8" spans="2:14" ht="15.6" x14ac:dyDescent="0.3">
      <c r="B8" s="25">
        <f>IF(J1=4,"",50)</f>
        <v>50</v>
      </c>
      <c r="C8" s="25">
        <f>IF(J1=4,"",7)</f>
        <v>7</v>
      </c>
      <c r="D8" s="12">
        <f t="shared" si="0"/>
        <v>350</v>
      </c>
      <c r="E8" s="13">
        <f t="shared" si="1"/>
        <v>2800</v>
      </c>
      <c r="F8" s="13">
        <f t="shared" si="2"/>
        <v>-56000</v>
      </c>
      <c r="G8" s="16"/>
      <c r="H8" s="70">
        <f t="shared" si="3"/>
        <v>18</v>
      </c>
      <c r="I8" s="70" t="str">
        <f t="shared" si="4"/>
        <v/>
      </c>
      <c r="J8" s="12" t="str">
        <f t="shared" si="5"/>
        <v/>
      </c>
    </row>
    <row r="9" spans="2:14" ht="15.6" x14ac:dyDescent="0.3">
      <c r="B9" s="25">
        <v>60</v>
      </c>
      <c r="C9" s="25">
        <v>8</v>
      </c>
      <c r="D9" s="12">
        <f t="shared" si="0"/>
        <v>480</v>
      </c>
      <c r="E9" s="13">
        <f t="shared" si="1"/>
        <v>800</v>
      </c>
      <c r="F9" s="13">
        <f t="shared" si="2"/>
        <v>-8000</v>
      </c>
      <c r="G9" s="16"/>
      <c r="H9" s="70">
        <f t="shared" si="3"/>
        <v>26</v>
      </c>
      <c r="I9" s="70" t="str">
        <f t="shared" si="4"/>
        <v/>
      </c>
      <c r="J9" s="12" t="str">
        <f t="shared" si="5"/>
        <v/>
      </c>
    </row>
    <row r="10" spans="2:14" ht="15.6" x14ac:dyDescent="0.3">
      <c r="B10" s="28">
        <v>70</v>
      </c>
      <c r="C10" s="28">
        <v>9</v>
      </c>
      <c r="D10" s="136">
        <f t="shared" si="0"/>
        <v>630</v>
      </c>
      <c r="E10" s="137">
        <f t="shared" si="1"/>
        <v>0</v>
      </c>
      <c r="F10" s="137">
        <f t="shared" si="2"/>
        <v>0</v>
      </c>
      <c r="G10" s="16"/>
      <c r="H10" s="70">
        <f t="shared" si="3"/>
        <v>35</v>
      </c>
      <c r="I10" s="70">
        <f t="shared" si="4"/>
        <v>70</v>
      </c>
      <c r="J10" s="12">
        <f t="shared" si="5"/>
        <v>70</v>
      </c>
    </row>
    <row r="11" spans="2:14" ht="15.6" x14ac:dyDescent="0.3">
      <c r="B11" s="25">
        <v>80</v>
      </c>
      <c r="C11" s="25">
        <v>8</v>
      </c>
      <c r="D11" s="12">
        <f t="shared" si="0"/>
        <v>640</v>
      </c>
      <c r="E11" s="13">
        <f t="shared" si="1"/>
        <v>800</v>
      </c>
      <c r="F11" s="13">
        <f t="shared" si="2"/>
        <v>8000</v>
      </c>
      <c r="G11" s="16"/>
      <c r="H11" s="70">
        <f t="shared" si="3"/>
        <v>43</v>
      </c>
      <c r="I11" s="70" t="str">
        <f t="shared" si="4"/>
        <v/>
      </c>
      <c r="J11" s="12" t="str">
        <f t="shared" si="5"/>
        <v/>
      </c>
    </row>
    <row r="12" spans="2:14" ht="15.6" x14ac:dyDescent="0.3">
      <c r="B12" s="25">
        <f>IF(J1=2,"",90)</f>
        <v>90</v>
      </c>
      <c r="C12" s="25">
        <f>IF(J1=2,"",7)</f>
        <v>7</v>
      </c>
      <c r="D12" s="12">
        <f t="shared" si="0"/>
        <v>630</v>
      </c>
      <c r="E12" s="13">
        <f t="shared" si="1"/>
        <v>2800</v>
      </c>
      <c r="F12" s="13">
        <f t="shared" si="2"/>
        <v>56000</v>
      </c>
      <c r="G12" s="16"/>
      <c r="H12" s="70">
        <f t="shared" si="3"/>
        <v>50</v>
      </c>
      <c r="I12" s="70" t="str">
        <f t="shared" si="4"/>
        <v/>
      </c>
      <c r="J12" s="12" t="str">
        <f t="shared" si="5"/>
        <v/>
      </c>
    </row>
    <row r="13" spans="2:14" ht="15.6" x14ac:dyDescent="0.3">
      <c r="B13" s="25">
        <f>IF(OR(J1=0,J1=3,J1=4),100,"")</f>
        <v>100</v>
      </c>
      <c r="C13" s="25">
        <f>IF(OR(J1=0,J1=3,J1=4),5,"")</f>
        <v>5</v>
      </c>
      <c r="D13" s="12">
        <f t="shared" si="0"/>
        <v>500</v>
      </c>
      <c r="E13" s="13">
        <f t="shared" si="1"/>
        <v>4500</v>
      </c>
      <c r="F13" s="13">
        <f t="shared" si="2"/>
        <v>135000</v>
      </c>
      <c r="G13" s="16"/>
      <c r="H13" s="70">
        <f t="shared" si="3"/>
        <v>55</v>
      </c>
      <c r="I13" s="70" t="str">
        <f t="shared" si="4"/>
        <v/>
      </c>
      <c r="J13" s="12" t="str">
        <f t="shared" si="5"/>
        <v/>
      </c>
    </row>
    <row r="14" spans="2:14" ht="15.6" x14ac:dyDescent="0.3">
      <c r="B14" s="25">
        <f>IF(OR(J1=0,J1=3,J1=4),110,"")</f>
        <v>110</v>
      </c>
      <c r="C14" s="25">
        <f>IF(OR(J1=0,J1=3,J1=4),3,"")</f>
        <v>3</v>
      </c>
      <c r="D14" s="12">
        <f t="shared" si="0"/>
        <v>330</v>
      </c>
      <c r="E14" s="13">
        <f t="shared" si="1"/>
        <v>4800</v>
      </c>
      <c r="F14" s="13">
        <f t="shared" si="2"/>
        <v>192000</v>
      </c>
      <c r="G14" s="16"/>
      <c r="H14" s="70">
        <f t="shared" si="3"/>
        <v>58</v>
      </c>
      <c r="I14" s="70" t="str">
        <f t="shared" si="4"/>
        <v/>
      </c>
      <c r="J14" s="12" t="str">
        <f t="shared" si="5"/>
        <v/>
      </c>
    </row>
    <row r="15" spans="2:14" ht="15.6" x14ac:dyDescent="0.3">
      <c r="B15" s="25">
        <f>IF(OR(J1=0,J1=3,J1=4),120,"")</f>
        <v>120</v>
      </c>
      <c r="C15" s="25">
        <f>IF(OR(J1=0,J1=3,J1=4),2,"")</f>
        <v>2</v>
      </c>
      <c r="D15" s="12">
        <f t="shared" si="0"/>
        <v>240</v>
      </c>
      <c r="E15" s="13">
        <f t="shared" si="1"/>
        <v>5000</v>
      </c>
      <c r="F15" s="13">
        <f t="shared" si="2"/>
        <v>250000</v>
      </c>
      <c r="G15" s="16"/>
      <c r="H15" s="70">
        <f t="shared" si="3"/>
        <v>60</v>
      </c>
      <c r="I15" s="70" t="str">
        <f t="shared" si="4"/>
        <v/>
      </c>
      <c r="J15" s="12" t="str">
        <f t="shared" si="5"/>
        <v/>
      </c>
    </row>
    <row r="16" spans="2:14" ht="15.6" x14ac:dyDescent="0.3">
      <c r="B16" s="25">
        <f>IF(OR(J1=0,J1=3,J1=4),130,"")</f>
        <v>130</v>
      </c>
      <c r="C16" s="25">
        <f>IF(OR(J1=0,J1=3,J1=4),1,"")</f>
        <v>1</v>
      </c>
      <c r="D16" s="12">
        <f t="shared" si="0"/>
        <v>130</v>
      </c>
      <c r="E16" s="13">
        <f t="shared" si="1"/>
        <v>3600</v>
      </c>
      <c r="F16" s="13">
        <f t="shared" si="2"/>
        <v>216000</v>
      </c>
      <c r="G16" s="16"/>
      <c r="H16" s="70">
        <f t="shared" si="3"/>
        <v>61</v>
      </c>
      <c r="I16" s="70" t="str">
        <f t="shared" si="4"/>
        <v/>
      </c>
      <c r="J16" s="12" t="str">
        <f t="shared" si="5"/>
        <v/>
      </c>
    </row>
    <row r="17" spans="2:17" x14ac:dyDescent="0.3">
      <c r="B17" s="14" t="s">
        <v>1</v>
      </c>
      <c r="C17" s="4">
        <f>SUM(C4:C16)</f>
        <v>61</v>
      </c>
      <c r="D17" s="4">
        <f>SUM(D4:D16)</f>
        <v>4270</v>
      </c>
      <c r="E17" s="4">
        <f>SUM(E4:E16)</f>
        <v>43000</v>
      </c>
      <c r="F17" s="4">
        <f>SUM(F4:F16)</f>
        <v>0</v>
      </c>
    </row>
    <row r="18" spans="2:17" ht="18" x14ac:dyDescent="0.3">
      <c r="B18" s="27" t="s">
        <v>2</v>
      </c>
      <c r="C18" s="16"/>
      <c r="D18" s="16">
        <f>D17/$C$17</f>
        <v>70</v>
      </c>
      <c r="E18" s="16">
        <f>E17/$C$17</f>
        <v>704.91803278688519</v>
      </c>
      <c r="F18" s="16">
        <f>F17/$C$17</f>
        <v>0</v>
      </c>
      <c r="G18" s="16"/>
      <c r="H18" s="16"/>
      <c r="I18" s="16"/>
    </row>
    <row r="23" spans="2:17" ht="22.5" customHeight="1" x14ac:dyDescent="0.3">
      <c r="M23" s="69">
        <f>D18</f>
        <v>70</v>
      </c>
      <c r="O23" s="69">
        <f>MAX(I4:I16)</f>
        <v>70</v>
      </c>
      <c r="Q23" s="69">
        <f>MAX(J4:J16)</f>
        <v>70</v>
      </c>
    </row>
  </sheetData>
  <sheetProtection algorithmName="SHA-512" hashValue="7qYsGeid9JN5BAASj5a9bI+zMt9jblELFt5ZmZx8WwGCavFeWvdFQkTXCEmPFsn2PHb88Mf6THIzxa+84xzSEg==" saltValue="o0DLj/qO+5yBiEMqJSOZjg==" spinCount="100000" sheet="1" objects="1" scenarios="1" selectLockedCells="1"/>
  <mergeCells count="1">
    <mergeCell ref="L1:N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10</xdr:col>
                    <xdr:colOff>83820</xdr:colOff>
                    <xdr:row>0</xdr:row>
                    <xdr:rowOff>38100</xdr:rowOff>
                  </from>
                  <to>
                    <xdr:col>10</xdr:col>
                    <xdr:colOff>381000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8"/>
  <sheetViews>
    <sheetView showGridLines="0" showRowColHeaders="0" zoomScaleNormal="100" workbookViewId="0"/>
  </sheetViews>
  <sheetFormatPr baseColWidth="10" defaultColWidth="11.44140625" defaultRowHeight="14.4" x14ac:dyDescent="0.3"/>
  <cols>
    <col min="1" max="1" width="4" style="4" customWidth="1"/>
    <col min="2" max="4" width="11.44140625" style="4"/>
    <col min="5" max="5" width="14.6640625" style="4" customWidth="1"/>
    <col min="6" max="6" width="15.109375" style="4" customWidth="1"/>
    <col min="7" max="7" width="4.88671875" style="4" customWidth="1"/>
    <col min="8" max="8" width="7.109375" style="4" hidden="1" customWidth="1"/>
    <col min="9" max="9" width="7.33203125" style="4" customWidth="1"/>
    <col min="10" max="16384" width="11.44140625" style="4"/>
  </cols>
  <sheetData>
    <row r="1" spans="2:12" x14ac:dyDescent="0.3">
      <c r="H1" s="1">
        <v>0</v>
      </c>
      <c r="J1" s="126" t="str">
        <f>IF(H1=0,"MESOCÚRTICA",IF(H1=1,"PLATICÚRTICA",IF(H1=2,"LEPTOCÚRTICA","¿ . . . . . . . ?")))</f>
        <v>MESOCÚRTICA</v>
      </c>
      <c r="K1" s="126"/>
      <c r="L1" s="126"/>
    </row>
    <row r="2" spans="2:12" x14ac:dyDescent="0.3">
      <c r="J2" s="126"/>
      <c r="K2" s="126"/>
      <c r="L2" s="126"/>
    </row>
    <row r="3" spans="2:12" ht="34.5" customHeight="1" x14ac:dyDescent="5.35">
      <c r="B3" s="12"/>
      <c r="C3" s="12"/>
      <c r="D3" s="12"/>
      <c r="E3" s="23"/>
      <c r="F3" s="12" t="s">
        <v>0</v>
      </c>
      <c r="K3" s="24">
        <f>(F12/(E12^2))-3</f>
        <v>-2.7096323058093397E-3</v>
      </c>
    </row>
    <row r="4" spans="2:12" ht="15.6" x14ac:dyDescent="0.3">
      <c r="B4" s="25">
        <v>10</v>
      </c>
      <c r="C4" s="25">
        <f>IF(H1=0,5,IF(H1=1,13,IF(H1=2,1,2)))</f>
        <v>5</v>
      </c>
      <c r="D4" s="12">
        <f>IF(B4="","",B4*C4)</f>
        <v>50</v>
      </c>
      <c r="E4" s="13">
        <f t="shared" ref="E4:E10" si="0">IF(B4="","",((B4-$D$12)^2)*C4)</f>
        <v>4500</v>
      </c>
      <c r="F4" s="13">
        <f>IF(B4="","",((B4-$D$12)^4)*C4)</f>
        <v>4050000</v>
      </c>
      <c r="G4" s="16"/>
    </row>
    <row r="5" spans="2:12" ht="15.6" x14ac:dyDescent="0.3">
      <c r="B5" s="25">
        <v>20</v>
      </c>
      <c r="C5" s="25">
        <f>IF(H1=0,13,IF(H1=1,20,IF(H1=2,3,23)))</f>
        <v>13</v>
      </c>
      <c r="D5" s="12">
        <f t="shared" ref="D5:D10" si="1">IF(B5="","",B5*C5)</f>
        <v>260</v>
      </c>
      <c r="E5" s="13">
        <f t="shared" si="0"/>
        <v>5200</v>
      </c>
      <c r="F5" s="13">
        <f t="shared" ref="F5:F10" si="2">IF(B5="","",((B5-$D$12)^4)*C5)</f>
        <v>2080000</v>
      </c>
      <c r="G5" s="16"/>
    </row>
    <row r="6" spans="2:12" ht="15.6" x14ac:dyDescent="0.3">
      <c r="B6" s="25">
        <v>30</v>
      </c>
      <c r="C6" s="25">
        <f>IF(H1=0,34,IF(H1=1,30,IF(H1=2,40,20)))</f>
        <v>34</v>
      </c>
      <c r="D6" s="12">
        <f t="shared" si="1"/>
        <v>1020</v>
      </c>
      <c r="E6" s="13">
        <f t="shared" si="0"/>
        <v>3400</v>
      </c>
      <c r="F6" s="13">
        <f t="shared" si="2"/>
        <v>340000</v>
      </c>
      <c r="G6" s="16"/>
    </row>
    <row r="7" spans="2:12" ht="15.6" x14ac:dyDescent="0.3">
      <c r="B7" s="25">
        <v>40</v>
      </c>
      <c r="C7" s="25">
        <f>IF(H1=0,55,IF(H1=1,33,IF(H1=2,71,69)))</f>
        <v>55</v>
      </c>
      <c r="D7" s="12">
        <f t="shared" si="1"/>
        <v>2200</v>
      </c>
      <c r="E7" s="13">
        <f t="shared" si="0"/>
        <v>0</v>
      </c>
      <c r="F7" s="13">
        <f t="shared" si="2"/>
        <v>0</v>
      </c>
      <c r="G7" s="16"/>
    </row>
    <row r="8" spans="2:12" ht="15.6" x14ac:dyDescent="0.3">
      <c r="B8" s="25">
        <v>50</v>
      </c>
      <c r="C8" s="25">
        <f>IF(H1=0,34,IF(H1=1,30,IF(H1=2,40,20)))</f>
        <v>34</v>
      </c>
      <c r="D8" s="12">
        <f t="shared" si="1"/>
        <v>1700</v>
      </c>
      <c r="E8" s="13">
        <f t="shared" si="0"/>
        <v>3400</v>
      </c>
      <c r="F8" s="13">
        <f t="shared" si="2"/>
        <v>340000</v>
      </c>
      <c r="G8" s="16"/>
    </row>
    <row r="9" spans="2:12" ht="15.6" x14ac:dyDescent="0.3">
      <c r="B9" s="25">
        <v>60</v>
      </c>
      <c r="C9" s="25">
        <f>IF(H1=0,13,IF(H1=1,20,IF(H1=2,3,23)))</f>
        <v>13</v>
      </c>
      <c r="D9" s="12">
        <f t="shared" si="1"/>
        <v>780</v>
      </c>
      <c r="E9" s="13">
        <f t="shared" si="0"/>
        <v>5200</v>
      </c>
      <c r="F9" s="13">
        <f t="shared" si="2"/>
        <v>2080000</v>
      </c>
      <c r="G9" s="16"/>
    </row>
    <row r="10" spans="2:12" ht="15.6" x14ac:dyDescent="0.3">
      <c r="B10" s="26">
        <v>70</v>
      </c>
      <c r="C10" s="26">
        <f>IF(H1=0,5,IF(H1=1,13,IF(H1=2,1,2)))</f>
        <v>5</v>
      </c>
      <c r="D10" s="12">
        <f t="shared" si="1"/>
        <v>350</v>
      </c>
      <c r="E10" s="13">
        <f t="shared" si="0"/>
        <v>4500</v>
      </c>
      <c r="F10" s="13">
        <f t="shared" si="2"/>
        <v>4050000</v>
      </c>
      <c r="G10" s="16"/>
    </row>
    <row r="11" spans="2:12" x14ac:dyDescent="0.3">
      <c r="B11" s="14" t="s">
        <v>1</v>
      </c>
      <c r="C11" s="4">
        <f>SUM(C4:C10)</f>
        <v>159</v>
      </c>
      <c r="D11" s="4">
        <f>SUM(D4:D10)</f>
        <v>6360</v>
      </c>
      <c r="E11" s="4">
        <f>SUM(E4:E10)</f>
        <v>26200</v>
      </c>
      <c r="F11" s="4">
        <f>SUM(F4:F10)</f>
        <v>12940000</v>
      </c>
      <c r="G11" s="16"/>
    </row>
    <row r="12" spans="2:12" ht="18" x14ac:dyDescent="0.3">
      <c r="B12" s="27" t="s">
        <v>2</v>
      </c>
      <c r="C12" s="16"/>
      <c r="D12" s="16">
        <f>D11/$C$11</f>
        <v>40</v>
      </c>
      <c r="E12" s="16">
        <f>E11/$C$11</f>
        <v>164.77987421383648</v>
      </c>
      <c r="F12" s="16">
        <f>F11/$C$11</f>
        <v>81383.647798742139</v>
      </c>
      <c r="G12" s="16"/>
    </row>
    <row r="13" spans="2:12" x14ac:dyDescent="0.3">
      <c r="G13" s="16"/>
    </row>
    <row r="14" spans="2:12" x14ac:dyDescent="0.3">
      <c r="G14" s="16"/>
    </row>
    <row r="15" spans="2:12" x14ac:dyDescent="0.3">
      <c r="G15" s="16"/>
    </row>
    <row r="16" spans="2:12" x14ac:dyDescent="0.3">
      <c r="G16" s="16"/>
    </row>
    <row r="18" spans="7:7" x14ac:dyDescent="0.3">
      <c r="G18" s="16"/>
    </row>
  </sheetData>
  <sheetProtection algorithmName="SHA-512" hashValue="ttRwyyfZmTz6O5bxaNf554+X7cmqEkaWvKJcTWLpZ9brpqpIHeJMsBG6RhfbmrY7m4ztLT+f7TkZymNzg6sXYg==" saltValue="cKl8lvc1MWhsRcb+sBokrA==" spinCount="100000" sheet="1" objects="1" scenarios="1" selectLockedCells="1"/>
  <mergeCells count="1">
    <mergeCell ref="J1:L2"/>
  </mergeCell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8</xdr:col>
                    <xdr:colOff>83820</xdr:colOff>
                    <xdr:row>0</xdr:row>
                    <xdr:rowOff>38100</xdr:rowOff>
                  </from>
                  <to>
                    <xdr:col>8</xdr:col>
                    <xdr:colOff>381000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3"/>
  <sheetViews>
    <sheetView showGridLines="0" showRowColHeaders="0" workbookViewId="0"/>
  </sheetViews>
  <sheetFormatPr baseColWidth="10" defaultColWidth="11.44140625" defaultRowHeight="14.4" x14ac:dyDescent="0.3"/>
  <cols>
    <col min="1" max="1" width="4" style="4" customWidth="1"/>
    <col min="2" max="2" width="8.6640625" style="4" customWidth="1"/>
    <col min="3" max="3" width="8.77734375" style="4" customWidth="1"/>
    <col min="4" max="10" width="8.6640625" style="4" customWidth="1"/>
    <col min="11" max="11" width="3.6640625" style="4" customWidth="1"/>
    <col min="12" max="12" width="11.44140625" style="4" hidden="1" customWidth="1"/>
    <col min="13" max="13" width="6.5546875" style="4" customWidth="1"/>
    <col min="14" max="16" width="11.44140625" style="4"/>
    <col min="17" max="17" width="15.6640625" style="4" customWidth="1"/>
    <col min="18" max="16384" width="11.44140625" style="4"/>
  </cols>
  <sheetData>
    <row r="1" spans="2:19" x14ac:dyDescent="0.3">
      <c r="D1" s="127" t="str">
        <f>IF(L1=2,"IGUALDAD EN EL REPARTO. CONCENTRACIÓN NULA.","")</f>
        <v/>
      </c>
      <c r="E1" s="127"/>
      <c r="F1" s="127"/>
      <c r="G1" s="127"/>
      <c r="H1" s="127"/>
      <c r="I1" s="127"/>
      <c r="J1" s="127"/>
      <c r="K1" s="127"/>
      <c r="L1" s="1">
        <v>3</v>
      </c>
      <c r="N1" s="130"/>
      <c r="O1" s="131">
        <f>1-((J17-100)/(I17-100))</f>
        <v>0.38271604938271608</v>
      </c>
      <c r="P1" s="130"/>
      <c r="Q1" s="132">
        <f>IF(L1=2,3000,MAX(L5:L16))</f>
        <v>5636.363636363636</v>
      </c>
      <c r="R1" s="133"/>
      <c r="S1" s="128">
        <f>IF(L1=2,3000,C9)</f>
        <v>3000</v>
      </c>
    </row>
    <row r="2" spans="2:19" x14ac:dyDescent="0.3">
      <c r="D2" s="127"/>
      <c r="E2" s="127"/>
      <c r="F2" s="127"/>
      <c r="G2" s="127"/>
      <c r="H2" s="127"/>
      <c r="I2" s="127"/>
      <c r="J2" s="127"/>
      <c r="K2" s="127"/>
      <c r="N2" s="130"/>
      <c r="O2" s="131"/>
      <c r="P2" s="130"/>
      <c r="Q2" s="132"/>
      <c r="R2" s="133"/>
      <c r="S2" s="128"/>
    </row>
    <row r="3" spans="2:19" ht="29.25" customHeight="1" x14ac:dyDescent="0.3">
      <c r="B3" s="8"/>
      <c r="C3" s="8"/>
      <c r="D3" s="8"/>
      <c r="E3" s="8"/>
      <c r="F3" s="8"/>
      <c r="G3" s="8"/>
      <c r="H3" s="8"/>
      <c r="I3" s="8"/>
      <c r="J3" s="8"/>
    </row>
    <row r="4" spans="2:19" x14ac:dyDescent="0.3">
      <c r="B4" s="12"/>
      <c r="C4" s="12"/>
      <c r="D4" s="12"/>
      <c r="E4" s="12"/>
      <c r="F4" s="12"/>
      <c r="G4" s="12"/>
      <c r="H4" s="12"/>
      <c r="I4" s="12">
        <v>0</v>
      </c>
      <c r="J4" s="12">
        <v>0</v>
      </c>
    </row>
    <row r="5" spans="2:19" ht="15.6" x14ac:dyDescent="0.3">
      <c r="B5" s="25">
        <v>0</v>
      </c>
      <c r="C5" s="25">
        <f>IF($L$1=2,6000,500)</f>
        <v>500</v>
      </c>
      <c r="D5" s="12">
        <f>(B5+C5)/2</f>
        <v>250</v>
      </c>
      <c r="E5" s="25">
        <v>10</v>
      </c>
      <c r="F5" s="12">
        <f>D5*E5</f>
        <v>2500</v>
      </c>
      <c r="G5" s="12">
        <f>E5</f>
        <v>10</v>
      </c>
      <c r="H5" s="12">
        <f>F5</f>
        <v>2500</v>
      </c>
      <c r="I5" s="12">
        <f>100*G5/$G$16</f>
        <v>10</v>
      </c>
      <c r="J5" s="13">
        <f>100*H5/$F$17</f>
        <v>0.69444444444444442</v>
      </c>
      <c r="L5" s="4" t="str">
        <f>IF(AND(J5&gt;=50,J4&lt;50),B5+((50-J4)*(C5-B5)/(J5-J4)),"")</f>
        <v/>
      </c>
    </row>
    <row r="6" spans="2:19" ht="15.6" x14ac:dyDescent="0.3">
      <c r="B6" s="25">
        <f>IF($L$1=2,0,C5)</f>
        <v>500</v>
      </c>
      <c r="C6" s="25">
        <f>IF($L$1=2,6000,1000)</f>
        <v>1000</v>
      </c>
      <c r="D6" s="12">
        <f t="shared" ref="D6:D16" si="0">(B6+C6)/2</f>
        <v>750</v>
      </c>
      <c r="E6" s="25">
        <v>10</v>
      </c>
      <c r="F6" s="12">
        <f t="shared" ref="F6:F16" si="1">D6*E6</f>
        <v>7500</v>
      </c>
      <c r="G6" s="12">
        <f>G5+E6</f>
        <v>20</v>
      </c>
      <c r="H6" s="12">
        <f>H5+F6</f>
        <v>10000</v>
      </c>
      <c r="I6" s="12">
        <f>100*G6/$G$16</f>
        <v>20</v>
      </c>
      <c r="J6" s="13">
        <f>100*H6/$F$17</f>
        <v>2.7777777777777777</v>
      </c>
      <c r="L6" s="4" t="str">
        <f t="shared" ref="L6:L16" si="2">IF(AND(J6&gt;=50,J5&lt;50),B6+((50-J5)*(C6-B6)/(J6-J5)),"")</f>
        <v/>
      </c>
    </row>
    <row r="7" spans="2:19" ht="15.6" x14ac:dyDescent="0.3">
      <c r="B7" s="25">
        <f t="shared" ref="B7:B16" si="3">IF($L$1=2,0,C6)</f>
        <v>1000</v>
      </c>
      <c r="C7" s="25">
        <f>IF($L$1=2,6000,1500)</f>
        <v>1500</v>
      </c>
      <c r="D7" s="12">
        <f t="shared" si="0"/>
        <v>1250</v>
      </c>
      <c r="E7" s="25">
        <v>10</v>
      </c>
      <c r="F7" s="12">
        <f t="shared" si="1"/>
        <v>12500</v>
      </c>
      <c r="G7" s="12">
        <f t="shared" ref="G7:G16" si="4">G6+E7</f>
        <v>30</v>
      </c>
      <c r="H7" s="12">
        <f t="shared" ref="H7:H16" si="5">H6+F7</f>
        <v>22500</v>
      </c>
      <c r="I7" s="12">
        <f>100*G7/$G$16</f>
        <v>30</v>
      </c>
      <c r="J7" s="13">
        <f>100*H7/$F$17</f>
        <v>6.25</v>
      </c>
      <c r="L7" s="4" t="str">
        <f t="shared" si="2"/>
        <v/>
      </c>
    </row>
    <row r="8" spans="2:19" ht="15.6" x14ac:dyDescent="0.3">
      <c r="B8" s="25">
        <f>IF($L$1=2,0,C7)</f>
        <v>1500</v>
      </c>
      <c r="C8" s="25">
        <f>IF($L$1=2,6000,2000)</f>
        <v>2000</v>
      </c>
      <c r="D8" s="12">
        <f t="shared" si="0"/>
        <v>1750</v>
      </c>
      <c r="E8" s="25">
        <v>10</v>
      </c>
      <c r="F8" s="12">
        <f t="shared" si="1"/>
        <v>17500</v>
      </c>
      <c r="G8" s="12">
        <f>G7+E8</f>
        <v>40</v>
      </c>
      <c r="H8" s="12">
        <f>H7+F8</f>
        <v>40000</v>
      </c>
      <c r="I8" s="12">
        <f t="shared" ref="I8:I16" si="6">100*G8/$G$16</f>
        <v>40</v>
      </c>
      <c r="J8" s="13">
        <f t="shared" ref="J8:J16" si="7">100*H8/$F$17</f>
        <v>11.111111111111111</v>
      </c>
      <c r="L8" s="4" t="str">
        <f>IF(AND(J8&gt;=50,J7&lt;50),B8+((50-J7)*(C8-B8)/(J8-J7)),"")</f>
        <v/>
      </c>
    </row>
    <row r="9" spans="2:19" ht="15.6" x14ac:dyDescent="0.3">
      <c r="B9" s="97">
        <f t="shared" si="3"/>
        <v>2000</v>
      </c>
      <c r="C9" s="97">
        <f>IF($L$1=2,6000,3000)</f>
        <v>3000</v>
      </c>
      <c r="D9" s="98">
        <f t="shared" si="0"/>
        <v>2500</v>
      </c>
      <c r="E9" s="97">
        <v>10</v>
      </c>
      <c r="F9" s="98">
        <f t="shared" si="1"/>
        <v>25000</v>
      </c>
      <c r="G9" s="98">
        <f t="shared" si="4"/>
        <v>50</v>
      </c>
      <c r="H9" s="98">
        <f t="shared" si="5"/>
        <v>65000</v>
      </c>
      <c r="I9" s="98">
        <f t="shared" si="6"/>
        <v>50</v>
      </c>
      <c r="J9" s="99">
        <f t="shared" si="7"/>
        <v>18.055555555555557</v>
      </c>
      <c r="L9" s="4" t="str">
        <f t="shared" si="2"/>
        <v/>
      </c>
    </row>
    <row r="10" spans="2:19" ht="15.6" x14ac:dyDescent="0.3">
      <c r="B10" s="25">
        <f t="shared" si="3"/>
        <v>3000</v>
      </c>
      <c r="C10" s="25">
        <f>IF($L$1=2,6000,4000)</f>
        <v>4000</v>
      </c>
      <c r="D10" s="12">
        <f t="shared" si="0"/>
        <v>3500</v>
      </c>
      <c r="E10" s="25">
        <v>10</v>
      </c>
      <c r="F10" s="12">
        <f t="shared" si="1"/>
        <v>35000</v>
      </c>
      <c r="G10" s="12">
        <f t="shared" si="4"/>
        <v>60</v>
      </c>
      <c r="H10" s="12">
        <f t="shared" si="5"/>
        <v>100000</v>
      </c>
      <c r="I10" s="12">
        <f t="shared" si="6"/>
        <v>60</v>
      </c>
      <c r="J10" s="13">
        <f t="shared" si="7"/>
        <v>27.777777777777779</v>
      </c>
      <c r="L10" s="4" t="str">
        <f t="shared" si="2"/>
        <v/>
      </c>
    </row>
    <row r="11" spans="2:19" ht="15.6" x14ac:dyDescent="0.3">
      <c r="B11" s="25">
        <f t="shared" si="3"/>
        <v>4000</v>
      </c>
      <c r="C11" s="25">
        <f>IF($L$1=2,6000,5000)</f>
        <v>5000</v>
      </c>
      <c r="D11" s="12">
        <f t="shared" si="0"/>
        <v>4500</v>
      </c>
      <c r="E11" s="25">
        <v>10</v>
      </c>
      <c r="F11" s="12">
        <f t="shared" si="1"/>
        <v>45000</v>
      </c>
      <c r="G11" s="12">
        <f t="shared" si="4"/>
        <v>70</v>
      </c>
      <c r="H11" s="12">
        <f t="shared" si="5"/>
        <v>145000</v>
      </c>
      <c r="I11" s="12">
        <f t="shared" si="6"/>
        <v>70</v>
      </c>
      <c r="J11" s="13">
        <f t="shared" si="7"/>
        <v>40.277777777777779</v>
      </c>
      <c r="L11" s="4" t="str">
        <f t="shared" si="2"/>
        <v/>
      </c>
    </row>
    <row r="12" spans="2:19" ht="15.6" x14ac:dyDescent="0.3">
      <c r="B12" s="25">
        <f t="shared" si="3"/>
        <v>5000</v>
      </c>
      <c r="C12" s="25">
        <f>IF($L$1=2,6000,6000)</f>
        <v>6000</v>
      </c>
      <c r="D12" s="12">
        <f t="shared" si="0"/>
        <v>5500</v>
      </c>
      <c r="E12" s="25">
        <v>10</v>
      </c>
      <c r="F12" s="12">
        <f t="shared" si="1"/>
        <v>55000</v>
      </c>
      <c r="G12" s="12">
        <f t="shared" si="4"/>
        <v>80</v>
      </c>
      <c r="H12" s="12">
        <f t="shared" si="5"/>
        <v>200000</v>
      </c>
      <c r="I12" s="12">
        <f t="shared" si="6"/>
        <v>80</v>
      </c>
      <c r="J12" s="13">
        <f t="shared" si="7"/>
        <v>55.555555555555557</v>
      </c>
      <c r="L12" s="4">
        <f t="shared" si="2"/>
        <v>5636.363636363636</v>
      </c>
    </row>
    <row r="13" spans="2:19" ht="15.6" x14ac:dyDescent="0.3">
      <c r="B13" s="25">
        <f t="shared" si="3"/>
        <v>6000</v>
      </c>
      <c r="C13" s="25">
        <f>IF($L$1=2,6000,7000)</f>
        <v>7000</v>
      </c>
      <c r="D13" s="12">
        <f t="shared" si="0"/>
        <v>6500</v>
      </c>
      <c r="E13" s="25">
        <v>5</v>
      </c>
      <c r="F13" s="12">
        <f t="shared" si="1"/>
        <v>32500</v>
      </c>
      <c r="G13" s="12">
        <f t="shared" si="4"/>
        <v>85</v>
      </c>
      <c r="H13" s="12">
        <f t="shared" si="5"/>
        <v>232500</v>
      </c>
      <c r="I13" s="12">
        <f t="shared" si="6"/>
        <v>85</v>
      </c>
      <c r="J13" s="13">
        <f t="shared" si="7"/>
        <v>64.583333333333329</v>
      </c>
      <c r="L13" s="4" t="str">
        <f t="shared" si="2"/>
        <v/>
      </c>
    </row>
    <row r="14" spans="2:19" ht="15.6" x14ac:dyDescent="0.3">
      <c r="B14" s="25">
        <f t="shared" si="3"/>
        <v>7000</v>
      </c>
      <c r="C14" s="25">
        <f>IF($L$1=2,6000,8000)</f>
        <v>8000</v>
      </c>
      <c r="D14" s="12">
        <f t="shared" si="0"/>
        <v>7500</v>
      </c>
      <c r="E14" s="25">
        <v>5</v>
      </c>
      <c r="F14" s="12">
        <f t="shared" si="1"/>
        <v>37500</v>
      </c>
      <c r="G14" s="12">
        <f t="shared" si="4"/>
        <v>90</v>
      </c>
      <c r="H14" s="12">
        <f t="shared" si="5"/>
        <v>270000</v>
      </c>
      <c r="I14" s="12">
        <f t="shared" si="6"/>
        <v>90</v>
      </c>
      <c r="J14" s="13">
        <f t="shared" si="7"/>
        <v>75</v>
      </c>
      <c r="L14" s="4" t="str">
        <f t="shared" si="2"/>
        <v/>
      </c>
    </row>
    <row r="15" spans="2:19" ht="15.6" x14ac:dyDescent="0.3">
      <c r="B15" s="25">
        <f t="shared" si="3"/>
        <v>8000</v>
      </c>
      <c r="C15" s="25">
        <f>IF($L$1=2,6000,9000)</f>
        <v>9000</v>
      </c>
      <c r="D15" s="12">
        <f t="shared" si="0"/>
        <v>8500</v>
      </c>
      <c r="E15" s="25">
        <v>5</v>
      </c>
      <c r="F15" s="12">
        <f t="shared" si="1"/>
        <v>42500</v>
      </c>
      <c r="G15" s="12">
        <f t="shared" si="4"/>
        <v>95</v>
      </c>
      <c r="H15" s="12">
        <f t="shared" si="5"/>
        <v>312500</v>
      </c>
      <c r="I15" s="63">
        <f t="shared" si="6"/>
        <v>95</v>
      </c>
      <c r="J15" s="64">
        <f t="shared" si="7"/>
        <v>86.805555555555557</v>
      </c>
      <c r="L15" s="4" t="str">
        <f t="shared" si="2"/>
        <v/>
      </c>
    </row>
    <row r="16" spans="2:19" ht="15.6" x14ac:dyDescent="0.3">
      <c r="B16" s="25">
        <f t="shared" si="3"/>
        <v>9000</v>
      </c>
      <c r="C16" s="25">
        <f>IF(L1=2,6000,IF(L1=3,10000,IF(L1=4,20000,IF(L1=5,50000,IF(L1=6,100000,IF(L1=7,200000,IF(L1=8,500000,IF(L1=9,1000000,10000000))))))))</f>
        <v>10000</v>
      </c>
      <c r="D16" s="12">
        <f t="shared" si="0"/>
        <v>9500</v>
      </c>
      <c r="E16" s="25">
        <v>5</v>
      </c>
      <c r="F16" s="12">
        <f t="shared" si="1"/>
        <v>47500</v>
      </c>
      <c r="G16" s="12">
        <f t="shared" si="4"/>
        <v>100</v>
      </c>
      <c r="H16" s="12">
        <f t="shared" si="5"/>
        <v>360000</v>
      </c>
      <c r="I16" s="12">
        <f t="shared" si="6"/>
        <v>100</v>
      </c>
      <c r="J16" s="13">
        <f t="shared" si="7"/>
        <v>100</v>
      </c>
      <c r="L16" s="4" t="str">
        <f t="shared" si="2"/>
        <v/>
      </c>
    </row>
    <row r="17" spans="4:18" x14ac:dyDescent="0.3">
      <c r="D17" s="14" t="s">
        <v>1</v>
      </c>
      <c r="E17" s="4">
        <f>SUM(E5:E16)</f>
        <v>100</v>
      </c>
      <c r="F17" s="4">
        <f>SUM(F5:F16)</f>
        <v>360000</v>
      </c>
      <c r="H17" s="4">
        <f>SUM(H5:H16)</f>
        <v>1760000</v>
      </c>
      <c r="I17" s="4">
        <f>SUM(I5:I16)</f>
        <v>730</v>
      </c>
      <c r="J17" s="16">
        <f>SUM(J5:J16)</f>
        <v>488.88888888888886</v>
      </c>
    </row>
    <row r="23" spans="4:18" ht="18" x14ac:dyDescent="0.35">
      <c r="N23" s="129" t="s">
        <v>6</v>
      </c>
      <c r="O23" s="129"/>
      <c r="P23" s="129"/>
      <c r="Q23" s="129"/>
      <c r="R23" s="129"/>
    </row>
  </sheetData>
  <sheetProtection algorithmName="SHA-512" hashValue="jBDN/+PtjOxNPdyG8/aTxiMHWVheFUo98xAc6ZH8M7oz7AlhdY1Dj7pjb22EFOHawmcbFsH7eOTslY1CUlNb8A==" saltValue="I6UlWwv3NmsCV9eEfF1Qgw==" spinCount="100000" sheet="1" objects="1" scenarios="1" selectLockedCells="1"/>
  <mergeCells count="8">
    <mergeCell ref="D1:K2"/>
    <mergeCell ref="S1:S2"/>
    <mergeCell ref="N23:R23"/>
    <mergeCell ref="N1:N2"/>
    <mergeCell ref="O1:O2"/>
    <mergeCell ref="P1:P2"/>
    <mergeCell ref="Q1:Q2"/>
    <mergeCell ref="R1:R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12</xdr:col>
                    <xdr:colOff>68580</xdr:colOff>
                    <xdr:row>0</xdr:row>
                    <xdr:rowOff>38100</xdr:rowOff>
                  </from>
                  <to>
                    <xdr:col>12</xdr:col>
                    <xdr:colOff>335280</xdr:colOff>
                    <xdr:row>1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9"/>
  <sheetViews>
    <sheetView showGridLines="0" showRowColHeaders="0" workbookViewId="0">
      <selection activeCell="J1" sqref="J1"/>
    </sheetView>
  </sheetViews>
  <sheetFormatPr baseColWidth="10" defaultColWidth="11.44140625" defaultRowHeight="14.4" x14ac:dyDescent="0.3"/>
  <cols>
    <col min="1" max="1" width="7.44140625" style="4" customWidth="1"/>
    <col min="2" max="7" width="8.6640625" style="4" customWidth="1"/>
    <col min="8" max="8" width="10.5546875" style="4" customWidth="1"/>
    <col min="9" max="9" width="16.44140625" style="4" customWidth="1"/>
    <col min="10" max="11" width="14.6640625" style="4" customWidth="1"/>
    <col min="12" max="12" width="11.109375" style="4" customWidth="1"/>
    <col min="13" max="13" width="11.6640625" style="4" customWidth="1"/>
    <col min="14" max="15" width="9" style="4" hidden="1" customWidth="1"/>
    <col min="16" max="16" width="9.33203125" style="4" hidden="1" customWidth="1"/>
    <col min="17" max="17" width="9.88671875" style="4" hidden="1" customWidth="1"/>
    <col min="18" max="18" width="9.5546875" style="4" hidden="1" customWidth="1"/>
    <col min="19" max="19" width="11.44140625" style="4" hidden="1" customWidth="1"/>
    <col min="20" max="20" width="12" style="4" hidden="1" customWidth="1"/>
    <col min="21" max="21" width="11.44140625" style="4" hidden="1" customWidth="1"/>
    <col min="22" max="16384" width="11.44140625" style="4"/>
  </cols>
  <sheetData>
    <row r="1" spans="1:21" ht="18" x14ac:dyDescent="0.35">
      <c r="A1" s="130"/>
      <c r="B1" s="130"/>
      <c r="C1" s="2" t="s">
        <v>3</v>
      </c>
      <c r="D1" s="3">
        <f>IF(OR(N1=0,N1=1),1,10)</f>
        <v>1</v>
      </c>
      <c r="F1" s="134" t="str">
        <f>IF(N1=1,"CAMBIO DE ORIGEN",IF(N1=2,"CAMBIO DE ESCALA",IF(N1=3,"CAMBIO DE ORIGEN Y ESCALA")))</f>
        <v>CAMBIO DE ORIGEN</v>
      </c>
      <c r="G1" s="134"/>
      <c r="H1" s="134"/>
      <c r="I1" s="134"/>
      <c r="N1" s="22">
        <v>1</v>
      </c>
      <c r="O1" s="22"/>
      <c r="P1" s="22"/>
    </row>
    <row r="2" spans="1:21" ht="18" x14ac:dyDescent="0.35">
      <c r="A2" s="130"/>
      <c r="B2" s="130"/>
      <c r="C2" s="2" t="s">
        <v>4</v>
      </c>
      <c r="D2" s="3">
        <f>IF(OR(N1=1,N1=3),100,0)</f>
        <v>100</v>
      </c>
      <c r="F2" s="134"/>
      <c r="G2" s="134"/>
      <c r="H2" s="134"/>
      <c r="I2" s="134"/>
    </row>
    <row r="3" spans="1:21" ht="11.25" customHeight="1" x14ac:dyDescent="0.35">
      <c r="A3" s="15"/>
      <c r="B3" s="15"/>
      <c r="C3" s="2"/>
      <c r="D3" s="2"/>
      <c r="E3" s="3"/>
      <c r="H3" s="5"/>
      <c r="I3" s="5"/>
      <c r="J3" s="5"/>
      <c r="K3" s="5"/>
    </row>
    <row r="4" spans="1:21" ht="30.75" customHeight="1" x14ac:dyDescent="0.3"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66" t="s">
        <v>11</v>
      </c>
      <c r="O4" s="66" t="s">
        <v>18</v>
      </c>
      <c r="P4" s="66" t="s">
        <v>19</v>
      </c>
      <c r="Q4" s="66" t="s">
        <v>20</v>
      </c>
      <c r="R4" s="66" t="s">
        <v>17</v>
      </c>
      <c r="S4" s="66" t="s">
        <v>25</v>
      </c>
      <c r="T4" s="66" t="s">
        <v>35</v>
      </c>
      <c r="U4" s="66" t="s">
        <v>36</v>
      </c>
    </row>
    <row r="5" spans="1:21" x14ac:dyDescent="0.3">
      <c r="B5" s="9">
        <v>0</v>
      </c>
      <c r="C5" s="10">
        <v>10</v>
      </c>
      <c r="D5" s="11">
        <v>10</v>
      </c>
      <c r="E5" s="8">
        <f>(B5+C5)/2</f>
        <v>5</v>
      </c>
      <c r="F5" s="8">
        <f>D5/(C5-B5)</f>
        <v>1</v>
      </c>
      <c r="G5" s="12">
        <f>E5*D5</f>
        <v>50</v>
      </c>
      <c r="H5" s="12">
        <f>E5-$H$21</f>
        <v>-22</v>
      </c>
      <c r="I5" s="12">
        <f>(H5^2)*D5</f>
        <v>4840</v>
      </c>
      <c r="J5" s="12">
        <f>(H5^3)*D5</f>
        <v>-106480</v>
      </c>
      <c r="K5" s="12">
        <f>(H5^4)*D5</f>
        <v>2342560</v>
      </c>
      <c r="L5" s="12">
        <f>L4+(100*D5/$D$10)</f>
        <v>10</v>
      </c>
      <c r="M5" s="13">
        <f>M4+(100*G5/$G$10)</f>
        <v>1.8518518518518519</v>
      </c>
      <c r="N5" s="12" t="str">
        <f>IF(M5&gt;=50,B5+((50-0)*(C5-B5)/(M5-0)),"")</f>
        <v/>
      </c>
      <c r="O5" s="12" t="str">
        <f>IF(F5=MAX($F$5:$F$9),(B5+C5)/2,"")</f>
        <v/>
      </c>
      <c r="P5" s="12" t="str">
        <f>IF(F5=MAX($F$5:$F$9),B5+(F6*(C5-B5)/(F4+F6)),"")</f>
        <v/>
      </c>
      <c r="Q5" s="12" t="str">
        <f>IF(F5=MAX($F$5:$F$9),B5+((C5-B5)*(F5-F4)/((F5-F4)+(F5-F6))),"")</f>
        <v/>
      </c>
      <c r="R5" s="12" t="str">
        <f>IF(L5&gt;=50,B5+((50-0)*(C5-B5)/(L5-0)),"")</f>
        <v/>
      </c>
      <c r="S5" s="12" t="str">
        <f>IF(L5&gt;=35,B5+((35-0)*(C5-B5)/(L5-0)),"")</f>
        <v/>
      </c>
      <c r="T5" s="12">
        <f>E5^D5</f>
        <v>9765625</v>
      </c>
      <c r="U5" s="12">
        <f>D5/E5</f>
        <v>2</v>
      </c>
    </row>
    <row r="6" spans="1:21" x14ac:dyDescent="0.3">
      <c r="B6" s="9">
        <v>10</v>
      </c>
      <c r="C6" s="10">
        <v>20</v>
      </c>
      <c r="D6" s="11">
        <v>40</v>
      </c>
      <c r="E6" s="8">
        <f>(B6+C6)/2</f>
        <v>15</v>
      </c>
      <c r="F6" s="8">
        <f>D6/(C6-B6)</f>
        <v>4</v>
      </c>
      <c r="G6" s="12">
        <f>E6*D6</f>
        <v>600</v>
      </c>
      <c r="H6" s="12">
        <f>E6-$H$21</f>
        <v>-12</v>
      </c>
      <c r="I6" s="12">
        <f>(H6^2)*D6</f>
        <v>5760</v>
      </c>
      <c r="J6" s="12">
        <f>(H6^3)*D6</f>
        <v>-69120</v>
      </c>
      <c r="K6" s="12">
        <f>(H6^4)*D6</f>
        <v>829440</v>
      </c>
      <c r="L6" s="12">
        <f>L5+(100*D6/$D$10)</f>
        <v>50</v>
      </c>
      <c r="M6" s="13">
        <f>M5+(100*G6/$G$10)</f>
        <v>24.074074074074073</v>
      </c>
      <c r="N6" s="12" t="str">
        <f>IF(AND(M6&gt;=50,M5&lt;50),B6+((50-M5)*(C6-B6)/(M6-M5)),"")</f>
        <v/>
      </c>
      <c r="O6" s="12">
        <f>IF(F6=MAX($F$5:$F$9),(B6+C6)/2,"")</f>
        <v>15</v>
      </c>
      <c r="P6" s="12">
        <f>IF(F6=MAX($F$5:$F$9),B6+(F7*(C6-B6)/(F5+F7)),"")</f>
        <v>16.666666666666668</v>
      </c>
      <c r="Q6" s="12">
        <f>IF(F6=MAX($F$5:$F$9),B6+((C6-B6)*(F6-F5)/((F6-F5)+(F6-F7))),"")</f>
        <v>16</v>
      </c>
      <c r="R6" s="12">
        <f>IF(AND(L6&gt;=50,L5&lt;50),B6+((50-L5)*(C6-B6)/(L6-L5)),"")</f>
        <v>20</v>
      </c>
      <c r="S6" s="12">
        <f>IF(AND(L6&gt;=35,L5&lt;35),B6+((35-L5)*(C6-B6)/(L6-L5)),"")</f>
        <v>16.25</v>
      </c>
      <c r="T6" s="12">
        <f>E6^D6</f>
        <v>1.1057332320940012E+47</v>
      </c>
      <c r="U6" s="12">
        <f>D6/E6</f>
        <v>2.6666666666666665</v>
      </c>
    </row>
    <row r="7" spans="1:21" x14ac:dyDescent="0.3">
      <c r="B7" s="9">
        <v>20</v>
      </c>
      <c r="C7" s="10">
        <v>30</v>
      </c>
      <c r="D7" s="11">
        <v>20</v>
      </c>
      <c r="E7" s="8">
        <f>(B7+C7)/2</f>
        <v>25</v>
      </c>
      <c r="F7" s="8">
        <f>D7/(C7-B7)</f>
        <v>2</v>
      </c>
      <c r="G7" s="12">
        <f>E7*D7</f>
        <v>500</v>
      </c>
      <c r="H7" s="12">
        <f>E7-$H$21</f>
        <v>-2</v>
      </c>
      <c r="I7" s="12">
        <f>(H7^2)*D7</f>
        <v>80</v>
      </c>
      <c r="J7" s="12">
        <f>(H7^3)*D7</f>
        <v>-160</v>
      </c>
      <c r="K7" s="12">
        <f>(H7^4)*D7</f>
        <v>320</v>
      </c>
      <c r="L7" s="12">
        <f>L6+(100*D7/$D$10)</f>
        <v>70</v>
      </c>
      <c r="M7" s="13">
        <f>M6+(100*G7/$G$10)</f>
        <v>42.592592592592595</v>
      </c>
      <c r="N7" s="12" t="str">
        <f>IF(AND(M7&gt;=50,M6&lt;50),B7+((50-M6)*(C7-B7)/(M7-M6)),"")</f>
        <v/>
      </c>
      <c r="O7" s="12" t="str">
        <f>IF(F7=MAX($F$5:$F$9),(B7+C7)/2,"")</f>
        <v/>
      </c>
      <c r="P7" s="12" t="str">
        <f>IF(F7=MAX($F$5:$F$9),B7+(F8*(C7-B7)/(F6+F8)),"")</f>
        <v/>
      </c>
      <c r="Q7" s="12" t="str">
        <f>IF(F7=MAX($F$5:$F$9),B7+((C7-B7)*(F7-F6)/((F7-F6)+(F7-F8))),"")</f>
        <v/>
      </c>
      <c r="R7" s="12" t="str">
        <f>IF(AND(L7&gt;=50,L6&lt;50),B7+((50-L6)*(C7-B7)/(L7-L6)),"")</f>
        <v/>
      </c>
      <c r="S7" s="12" t="str">
        <f>IF(AND(L7&gt;=35,L6&lt;35),B7+((35-L6)*(C7-B7)/(L7-L6)),"")</f>
        <v/>
      </c>
      <c r="T7" s="12">
        <f>E7^D7</f>
        <v>9.0949470177292827E+27</v>
      </c>
      <c r="U7" s="12">
        <f>D7/E7</f>
        <v>0.8</v>
      </c>
    </row>
    <row r="8" spans="1:21" x14ac:dyDescent="0.3">
      <c r="B8" s="9">
        <v>30</v>
      </c>
      <c r="C8" s="10">
        <v>50</v>
      </c>
      <c r="D8" s="11">
        <v>20</v>
      </c>
      <c r="E8" s="8">
        <f>(B8+C8)/2</f>
        <v>40</v>
      </c>
      <c r="F8" s="8">
        <f>D8/(C8-B8)</f>
        <v>1</v>
      </c>
      <c r="G8" s="12">
        <f>E8*D8</f>
        <v>800</v>
      </c>
      <c r="H8" s="12">
        <f>E8-$H$21</f>
        <v>13</v>
      </c>
      <c r="I8" s="12">
        <f>(H8^2)*D8</f>
        <v>3380</v>
      </c>
      <c r="J8" s="12">
        <f>(H8^3)*D8</f>
        <v>43940</v>
      </c>
      <c r="K8" s="12">
        <f>(H8^4)*D8</f>
        <v>571220</v>
      </c>
      <c r="L8" s="12">
        <f>L7+(100*D8/$D$10)</f>
        <v>90</v>
      </c>
      <c r="M8" s="13">
        <f>M7+(100*G8/$G$10)</f>
        <v>72.222222222222229</v>
      </c>
      <c r="N8" s="13">
        <f>IF(AND(M8&gt;=50,M7&lt;50),B8+((50-M7)*(C8-B8)/(M8-M7)),"")</f>
        <v>35</v>
      </c>
      <c r="O8" s="12" t="str">
        <f>IF(F8=MAX($F$5:$F$9),(B8+C8)/2,"")</f>
        <v/>
      </c>
      <c r="P8" s="12" t="str">
        <f>IF(F8=MAX($F$5:$F$9),B8+(F9*(C8-B8)/(F7+F9)),"")</f>
        <v/>
      </c>
      <c r="Q8" s="12" t="str">
        <f>IF(F8=MAX($F$5:$F$9),B8+((C8-B8)*(F8-F7)/((F8-F7)+(F8-F9))),"")</f>
        <v/>
      </c>
      <c r="R8" s="12" t="str">
        <f>IF(AND(L8&gt;=50,L7&lt;50),B8+((50-L7)*(C8-B8)/(L8-L7)),"")</f>
        <v/>
      </c>
      <c r="S8" s="12" t="str">
        <f>IF(AND(L8&gt;=35,L7&lt;35),B8+((35-L7)*(C8-B8)/(L8-L7)),"")</f>
        <v/>
      </c>
      <c r="T8" s="12">
        <f>E8^D8</f>
        <v>1.099511627776E+32</v>
      </c>
      <c r="U8" s="12">
        <f>D8/E8</f>
        <v>0.5</v>
      </c>
    </row>
    <row r="9" spans="1:21" x14ac:dyDescent="0.3">
      <c r="B9" s="9">
        <v>50</v>
      </c>
      <c r="C9" s="10">
        <v>100</v>
      </c>
      <c r="D9" s="11">
        <v>10</v>
      </c>
      <c r="E9" s="8">
        <f>(B9+C9)/2</f>
        <v>75</v>
      </c>
      <c r="F9" s="8">
        <f>D9/(C9-B9)</f>
        <v>0.2</v>
      </c>
      <c r="G9" s="12">
        <f>E9*D9</f>
        <v>750</v>
      </c>
      <c r="H9" s="12">
        <f>E9-$H$21</f>
        <v>48</v>
      </c>
      <c r="I9" s="12">
        <f>(H9^2)*D9</f>
        <v>23040</v>
      </c>
      <c r="J9" s="12">
        <f>(H9^3)*D9</f>
        <v>1105920</v>
      </c>
      <c r="K9" s="12">
        <f>(H9^4)*D9</f>
        <v>53084160</v>
      </c>
      <c r="L9" s="12">
        <f>L8+(100*D9/$D$10)</f>
        <v>100</v>
      </c>
      <c r="M9" s="13">
        <f>M8+(100*G9/$G$10)</f>
        <v>100</v>
      </c>
      <c r="N9" s="12" t="str">
        <f>IF(AND(M9&gt;=50,M8&lt;50),B9+((50-M8)*(C9-B9)/(M9-M8)),"")</f>
        <v/>
      </c>
      <c r="O9" s="12" t="str">
        <f>IF(F9=MAX($F$5:$F$9),(B9+C9)/2,"")</f>
        <v/>
      </c>
      <c r="P9" s="12" t="str">
        <f>IF(F9=MAX($F$5:$F$9),B9+(F10*(C9-B9)/(F8+F10)),"")</f>
        <v/>
      </c>
      <c r="Q9" s="12" t="str">
        <f>IF(F9=MAX($F$5:$F$9),B9+((C9-B9)*(F9-F8)/((F9-F8)+(F9-F10))),"")</f>
        <v/>
      </c>
      <c r="R9" s="12" t="str">
        <f>IF(AND(L9&gt;=50,L8&lt;50),B9+((50-L8)*(C9-B9)/(L9-L8)),"")</f>
        <v/>
      </c>
      <c r="S9" s="12" t="str">
        <f>IF(AND(L9&gt;=35,L8&lt;35),B9+((35-L8)*(C9-B9)/(L9-L8)),"")</f>
        <v/>
      </c>
      <c r="T9" s="12">
        <f>E9^D9</f>
        <v>5.6313514709472655E+18</v>
      </c>
      <c r="U9" s="12">
        <f>D9/E9</f>
        <v>0.13333333333333333</v>
      </c>
    </row>
    <row r="10" spans="1:21" x14ac:dyDescent="0.3">
      <c r="C10" s="27" t="s">
        <v>1</v>
      </c>
      <c r="D10" s="15">
        <f>SUM(D5:D9)</f>
        <v>100</v>
      </c>
      <c r="F10" s="15"/>
      <c r="G10" s="4">
        <f t="shared" ref="G10:M10" si="0">SUM(G5:G9)</f>
        <v>2700</v>
      </c>
      <c r="I10" s="4">
        <f t="shared" si="0"/>
        <v>37100</v>
      </c>
      <c r="J10" s="4">
        <f t="shared" si="0"/>
        <v>974100</v>
      </c>
      <c r="K10" s="4">
        <f t="shared" si="0"/>
        <v>56827700</v>
      </c>
      <c r="L10" s="4">
        <f t="shared" si="0"/>
        <v>320</v>
      </c>
      <c r="M10" s="16">
        <f t="shared" si="0"/>
        <v>240.74074074074076</v>
      </c>
      <c r="T10" s="4">
        <f>PRODUCT(T5:T9)</f>
        <v>6.080832483425614E+132</v>
      </c>
      <c r="U10" s="4">
        <f>SUM(U5:U9)</f>
        <v>6.1</v>
      </c>
    </row>
    <row r="11" spans="1:21" ht="11.25" customHeight="1" x14ac:dyDescent="0.35">
      <c r="A11" s="15"/>
      <c r="B11" s="15"/>
      <c r="C11" s="2"/>
      <c r="D11" s="2"/>
      <c r="E11" s="3"/>
      <c r="H11" s="5"/>
      <c r="I11" s="5"/>
      <c r="J11" s="5"/>
      <c r="K11" s="5"/>
      <c r="T11" s="4">
        <f>T10^(1/D10)</f>
        <v>21.273533445125832</v>
      </c>
      <c r="U11" s="4">
        <f>D10/U10</f>
        <v>16.393442622950822</v>
      </c>
    </row>
    <row r="12" spans="1:21" ht="30.75" customHeight="1" x14ac:dyDescent="0.3">
      <c r="B12" s="67"/>
      <c r="C12" s="68"/>
      <c r="D12" s="7"/>
      <c r="E12" s="8"/>
      <c r="F12" s="8"/>
      <c r="G12" s="8"/>
      <c r="H12" s="8"/>
      <c r="I12" s="8"/>
      <c r="J12" s="8"/>
      <c r="K12" s="8"/>
      <c r="L12" s="8"/>
      <c r="M12" s="8"/>
      <c r="N12" s="66" t="s">
        <v>11</v>
      </c>
      <c r="O12" s="66" t="s">
        <v>18</v>
      </c>
      <c r="P12" s="66" t="s">
        <v>19</v>
      </c>
      <c r="Q12" s="66" t="s">
        <v>20</v>
      </c>
      <c r="R12" s="66" t="s">
        <v>17</v>
      </c>
      <c r="S12" s="66" t="s">
        <v>25</v>
      </c>
      <c r="T12" s="66" t="s">
        <v>35</v>
      </c>
      <c r="U12" s="66" t="s">
        <v>36</v>
      </c>
    </row>
    <row r="13" spans="1:21" x14ac:dyDescent="0.3">
      <c r="B13" s="6">
        <f t="shared" ref="B13:C17" si="1">($D$1*B5)+$D$2</f>
        <v>100</v>
      </c>
      <c r="C13" s="7">
        <f t="shared" si="1"/>
        <v>110</v>
      </c>
      <c r="D13" s="7">
        <f>D5</f>
        <v>10</v>
      </c>
      <c r="E13" s="8">
        <f>(B13+C13)/2</f>
        <v>105</v>
      </c>
      <c r="F13" s="8">
        <f>D13/(C13-B13)</f>
        <v>1</v>
      </c>
      <c r="G13" s="12">
        <f>E13*D13</f>
        <v>1050</v>
      </c>
      <c r="H13" s="12">
        <f>E13-$I$21</f>
        <v>-22</v>
      </c>
      <c r="I13" s="12">
        <f>(H13^2)*D13</f>
        <v>4840</v>
      </c>
      <c r="J13" s="12">
        <f>(H13^3)*D13</f>
        <v>-106480</v>
      </c>
      <c r="K13" s="12">
        <f>(H13^4)*D13</f>
        <v>2342560</v>
      </c>
      <c r="L13" s="12">
        <f>L12+(100*D13/$D$18)</f>
        <v>10</v>
      </c>
      <c r="M13" s="13">
        <f>M12+(100*G13/$G$18)</f>
        <v>8.2677165354330704</v>
      </c>
      <c r="N13" s="12" t="str">
        <f>IF(M13&gt;=50,B13+((50-0)*(C13-B13)/(M13-0)),"")</f>
        <v/>
      </c>
      <c r="O13" s="12" t="str">
        <f>IF(F13=MAX($F$13:$F$17),(B13+C13)/2,"")</f>
        <v/>
      </c>
      <c r="P13" s="12" t="str">
        <f>IF(F13=MAX($F$13:$F$17),B13+(F14*(C13-B13)/(F12+F14)),"")</f>
        <v/>
      </c>
      <c r="Q13" s="12" t="str">
        <f>IF(F13=MAX($F$13:$F$17),B13+((C13-B13)*(F13-F12)/((F13-F12)+(F13-F14))),"")</f>
        <v/>
      </c>
      <c r="R13" s="12" t="str">
        <f>IF(L13&gt;=50,B13+((50-0)*(C13-B13)/(L13-0)),"")</f>
        <v/>
      </c>
      <c r="S13" s="12" t="str">
        <f>IF(L13&gt;=35,B13+((35-0)*(C13-B13)/(L13-0)),"")</f>
        <v/>
      </c>
      <c r="T13" s="12">
        <f>E13^D13</f>
        <v>1.6288946267774412E+20</v>
      </c>
      <c r="U13" s="12">
        <f>D13/E13</f>
        <v>9.5238095238095233E-2</v>
      </c>
    </row>
    <row r="14" spans="1:21" x14ac:dyDescent="0.3">
      <c r="B14" s="6">
        <f t="shared" si="1"/>
        <v>110</v>
      </c>
      <c r="C14" s="7">
        <f t="shared" si="1"/>
        <v>120</v>
      </c>
      <c r="D14" s="7">
        <f>D6</f>
        <v>40</v>
      </c>
      <c r="E14" s="8">
        <f>(B14+C14)/2</f>
        <v>115</v>
      </c>
      <c r="F14" s="8">
        <f>D14/(C14-B14)</f>
        <v>4</v>
      </c>
      <c r="G14" s="12">
        <f>E14*D14</f>
        <v>4600</v>
      </c>
      <c r="H14" s="12">
        <f>E14-$I$21</f>
        <v>-12</v>
      </c>
      <c r="I14" s="12">
        <f>(H14^2)*D14</f>
        <v>5760</v>
      </c>
      <c r="J14" s="12">
        <f>(H14^3)*D14</f>
        <v>-69120</v>
      </c>
      <c r="K14" s="12">
        <f>(H14^4)*D14</f>
        <v>829440</v>
      </c>
      <c r="L14" s="12">
        <f>L13+(100*D14/$D$18)</f>
        <v>50</v>
      </c>
      <c r="M14" s="13">
        <f>M13+(100*G14/$G$18)</f>
        <v>44.488188976377955</v>
      </c>
      <c r="N14" s="12" t="str">
        <f>IF(AND(M14&gt;=50,M13&lt;50),B14+((50-M13)*(C14-B14)/(M14-M13)),"")</f>
        <v/>
      </c>
      <c r="O14" s="12">
        <f>IF(F14=MAX($F$13:$F$17),(B14+C14)/2,"")</f>
        <v>115</v>
      </c>
      <c r="P14" s="12">
        <f>IF(F14=MAX($F$13:$F$17),B14+(F15*(C14-B14)/(F13+F15)),"")</f>
        <v>116.66666666666667</v>
      </c>
      <c r="Q14" s="12">
        <f>IF(F14=MAX($F$13:$F$17),B14+((C14-B14)*(F14-F13)/((F14-F13)+(F14-F15))),"")</f>
        <v>116</v>
      </c>
      <c r="R14" s="12">
        <f>IF(AND(L14&gt;=50,L13&lt;50),B14+((50-L13)*(C14-B14)/(L14-L13)),"")</f>
        <v>120</v>
      </c>
      <c r="S14" s="12">
        <f>IF(AND(L14&gt;=35,L13&lt;35),B14+((35-L13)*(C14-B14)/(L14-L13)),"")</f>
        <v>116.25</v>
      </c>
      <c r="T14" s="12">
        <f>E14^D14</f>
        <v>2.6786354623470335E+82</v>
      </c>
      <c r="U14" s="12">
        <f>D14/E14</f>
        <v>0.34782608695652173</v>
      </c>
    </row>
    <row r="15" spans="1:21" x14ac:dyDescent="0.3">
      <c r="B15" s="6">
        <f t="shared" si="1"/>
        <v>120</v>
      </c>
      <c r="C15" s="7">
        <f t="shared" si="1"/>
        <v>130</v>
      </c>
      <c r="D15" s="7">
        <f>D7</f>
        <v>20</v>
      </c>
      <c r="E15" s="8">
        <f>(B15+C15)/2</f>
        <v>125</v>
      </c>
      <c r="F15" s="8">
        <f>D15/(C15-B15)</f>
        <v>2</v>
      </c>
      <c r="G15" s="12">
        <f>E15*D15</f>
        <v>2500</v>
      </c>
      <c r="H15" s="12">
        <f>E15-$I$21</f>
        <v>-2</v>
      </c>
      <c r="I15" s="12">
        <f>(H15^2)*D15</f>
        <v>80</v>
      </c>
      <c r="J15" s="12">
        <f>(H15^3)*D15</f>
        <v>-160</v>
      </c>
      <c r="K15" s="12">
        <f>(H15^4)*D15</f>
        <v>320</v>
      </c>
      <c r="L15" s="12">
        <f>L14+(100*D15/$D$18)</f>
        <v>70</v>
      </c>
      <c r="M15" s="13">
        <f>M14+(100*G15/$G$18)</f>
        <v>64.173228346456696</v>
      </c>
      <c r="N15" s="12">
        <f>IF(AND(M15&gt;=50,M14&lt;50),B15+((50-M14)*(C15-B15)/(M15-M14)),"")</f>
        <v>122.8</v>
      </c>
      <c r="O15" s="12" t="str">
        <f>IF(F15=MAX($F$13:$F$17),(B15+C15)/2,"")</f>
        <v/>
      </c>
      <c r="P15" s="12" t="str">
        <f>IF(F15=MAX($F$13:$F$17),B15+(F16*(C15-B15)/(F14+F16)),"")</f>
        <v/>
      </c>
      <c r="Q15" s="12" t="str">
        <f>IF(F15=MAX($F$13:$F$17),B15+((C15-B15)*(F15-F14)/((F15-F14)+(F15-F16))),"")</f>
        <v/>
      </c>
      <c r="R15" s="12" t="str">
        <f>IF(AND(L15&gt;=50,L14&lt;50),B15+((50-L14)*(C15-B15)/(L15-L14)),"")</f>
        <v/>
      </c>
      <c r="S15" s="12" t="str">
        <f>IF(AND(L15&gt;=35,L14&lt;35),B15+((35-L14)*(C15-B15)/(L15-L14)),"")</f>
        <v/>
      </c>
      <c r="T15" s="12">
        <f>E15^D15</f>
        <v>8.6736173798840366E+41</v>
      </c>
      <c r="U15" s="12">
        <f>D15/E15</f>
        <v>0.16</v>
      </c>
    </row>
    <row r="16" spans="1:21" x14ac:dyDescent="0.3">
      <c r="B16" s="6">
        <f t="shared" si="1"/>
        <v>130</v>
      </c>
      <c r="C16" s="7">
        <f t="shared" si="1"/>
        <v>150</v>
      </c>
      <c r="D16" s="7">
        <f>D8</f>
        <v>20</v>
      </c>
      <c r="E16" s="8">
        <f>(B16+C16)/2</f>
        <v>140</v>
      </c>
      <c r="F16" s="8">
        <f>D16/(C16-B16)</f>
        <v>1</v>
      </c>
      <c r="G16" s="12">
        <f>E16*D16</f>
        <v>2800</v>
      </c>
      <c r="H16" s="12">
        <f>E16-$I$21</f>
        <v>13</v>
      </c>
      <c r="I16" s="12">
        <f>(H16^2)*D16</f>
        <v>3380</v>
      </c>
      <c r="J16" s="12">
        <f>(H16^3)*D16</f>
        <v>43940</v>
      </c>
      <c r="K16" s="12">
        <f>(H16^4)*D16</f>
        <v>571220</v>
      </c>
      <c r="L16" s="12">
        <f>L15+(100*D16/$D$18)</f>
        <v>90</v>
      </c>
      <c r="M16" s="13">
        <f>M15+(100*G16/$G$18)</f>
        <v>86.220472440944889</v>
      </c>
      <c r="N16" s="13" t="str">
        <f>IF(AND(M16&gt;=50,M15&lt;50),B16+((50-M15)*(C16-B16)/(M16-M15)),"")</f>
        <v/>
      </c>
      <c r="O16" s="12" t="str">
        <f>IF(F16=MAX($F$13:$F$17),(B16+C16)/2,"")</f>
        <v/>
      </c>
      <c r="P16" s="12" t="str">
        <f>IF(F16=MAX($F$13:$F$17),B16+(F17*(C16-B16)/(F15+F17)),"")</f>
        <v/>
      </c>
      <c r="Q16" s="12" t="str">
        <f>IF(F16=MAX($F$13:$F$17),B16+((C16-B16)*(F16-F15)/((F16-F15)+(F16-F17))),"")</f>
        <v/>
      </c>
      <c r="R16" s="12" t="str">
        <f>IF(AND(L16&gt;=50,L15&lt;50),B16+((50-L15)*(C16-B16)/(L16-L15)),"")</f>
        <v/>
      </c>
      <c r="S16" s="12" t="str">
        <f>IF(AND(L16&gt;=35,L15&lt;35),B16+((35-L15)*(C16-B16)/(L16-L15)),"")</f>
        <v/>
      </c>
      <c r="T16" s="12">
        <f>E16^D16</f>
        <v>8.3668255425284811E+42</v>
      </c>
      <c r="U16" s="12">
        <f>D16/E16</f>
        <v>0.14285714285714285</v>
      </c>
    </row>
    <row r="17" spans="2:21" x14ac:dyDescent="0.3">
      <c r="B17" s="6">
        <f t="shared" si="1"/>
        <v>150</v>
      </c>
      <c r="C17" s="7">
        <f t="shared" si="1"/>
        <v>200</v>
      </c>
      <c r="D17" s="7">
        <f>D9</f>
        <v>10</v>
      </c>
      <c r="E17" s="8">
        <f>(B17+C17)/2</f>
        <v>175</v>
      </c>
      <c r="F17" s="8">
        <f>D17/(C17-B17)</f>
        <v>0.2</v>
      </c>
      <c r="G17" s="12">
        <f>E17*D17</f>
        <v>1750</v>
      </c>
      <c r="H17" s="12">
        <f>E17-$I$21</f>
        <v>48</v>
      </c>
      <c r="I17" s="12">
        <f>(H17^2)*D17</f>
        <v>23040</v>
      </c>
      <c r="J17" s="12">
        <f>(H17^3)*D17</f>
        <v>1105920</v>
      </c>
      <c r="K17" s="70">
        <f>(H17^4)*D17</f>
        <v>53084160</v>
      </c>
      <c r="L17" s="12">
        <f>L16+(100*D17/$D$18)</f>
        <v>100</v>
      </c>
      <c r="M17" s="13">
        <f>M16+(100*G17/$G$18)</f>
        <v>100</v>
      </c>
      <c r="N17" s="12" t="str">
        <f>IF(AND(M17&gt;=50,M16&lt;50),B17+((50-M16)*(C17-B17)/(M17-M16)),"")</f>
        <v/>
      </c>
      <c r="O17" s="12" t="str">
        <f>IF(F17=MAX($F$13:$F$17),(B17+C17)/2,"")</f>
        <v/>
      </c>
      <c r="P17" s="12" t="str">
        <f>IF(F17=MAX($F$13:$F$17),B17+(F18*(C17-B17)/(F16+F18)),"")</f>
        <v/>
      </c>
      <c r="Q17" s="12" t="str">
        <f>IF(F17=MAX($F$13:$F$17),B17+((C17-B17)*(F17-F16)/((F17-F16)+(F17-F18))),"")</f>
        <v/>
      </c>
      <c r="R17" s="12" t="str">
        <f>IF(AND(L17&gt;=50,L16&lt;50),B17+((50-L16)*(C17-B17)/(L17-L16)),"")</f>
        <v/>
      </c>
      <c r="S17" s="12" t="str">
        <f>IF(AND(L17&gt;=35,L16&lt;35),B17+((35-L16)*(C17-B17)/(L17-L16)),"")</f>
        <v/>
      </c>
      <c r="T17" s="12">
        <f>E17^D17</f>
        <v>2.6938938999176025E+22</v>
      </c>
      <c r="U17" s="12">
        <f>D17/E17</f>
        <v>5.7142857142857141E-2</v>
      </c>
    </row>
    <row r="18" spans="2:21" x14ac:dyDescent="0.3">
      <c r="C18" s="27" t="s">
        <v>1</v>
      </c>
      <c r="D18" s="15">
        <f>SUM(D13:D17)</f>
        <v>100</v>
      </c>
      <c r="F18" s="15"/>
      <c r="G18" s="4">
        <f t="shared" ref="G18:M18" si="2">SUM(G13:G17)</f>
        <v>12700</v>
      </c>
      <c r="I18" s="4">
        <f t="shared" si="2"/>
        <v>37100</v>
      </c>
      <c r="J18" s="4">
        <f t="shared" si="2"/>
        <v>974100</v>
      </c>
      <c r="K18" s="73">
        <f t="shared" si="2"/>
        <v>56827700</v>
      </c>
      <c r="L18" s="4">
        <f t="shared" si="2"/>
        <v>320</v>
      </c>
      <c r="M18" s="16">
        <f t="shared" si="2"/>
        <v>303.14960629921262</v>
      </c>
      <c r="T18" s="4">
        <f>PRODUCT(T13:T17)</f>
        <v>8.5299810319739625E+209</v>
      </c>
      <c r="U18" s="4">
        <f>SUM(U13:U17)</f>
        <v>0.80306418219461695</v>
      </c>
    </row>
    <row r="19" spans="2:21" ht="12.75" customHeight="1" x14ac:dyDescent="0.3">
      <c r="E19" s="14"/>
      <c r="F19" s="15"/>
      <c r="G19" s="15"/>
      <c r="H19" s="15"/>
      <c r="N19" s="16"/>
      <c r="O19" s="16"/>
      <c r="P19" s="16"/>
      <c r="T19" s="4">
        <f>T18^(1/D18)</f>
        <v>125.69253365929006</v>
      </c>
      <c r="U19" s="4">
        <f>D18/U18</f>
        <v>124.52304836547387</v>
      </c>
    </row>
    <row r="20" spans="2:21" ht="30" customHeight="1" x14ac:dyDescent="0.3">
      <c r="H20" s="12"/>
      <c r="I20" s="12"/>
      <c r="J20" s="30"/>
      <c r="K20" s="15"/>
      <c r="L20" s="15"/>
    </row>
    <row r="21" spans="2:21" ht="15" customHeight="1" x14ac:dyDescent="0.3">
      <c r="C21" s="31"/>
      <c r="D21" s="32"/>
      <c r="E21" s="32"/>
      <c r="F21" s="32"/>
      <c r="G21" s="33" t="s">
        <v>37</v>
      </c>
      <c r="H21" s="17">
        <f>G10/D10</f>
        <v>27</v>
      </c>
      <c r="I21" s="17">
        <f>G18/D18</f>
        <v>127</v>
      </c>
      <c r="J21" s="32"/>
      <c r="K21" s="32"/>
      <c r="L21" s="32"/>
      <c r="M21" s="100"/>
    </row>
    <row r="22" spans="2:21" ht="15" customHeight="1" x14ac:dyDescent="0.3">
      <c r="C22" s="34"/>
      <c r="D22" s="35"/>
      <c r="E22" s="35"/>
      <c r="F22" s="35"/>
      <c r="G22" s="36" t="s">
        <v>38</v>
      </c>
      <c r="H22" s="72">
        <f>T11</f>
        <v>21.273533445125832</v>
      </c>
      <c r="I22" s="74">
        <f>T19</f>
        <v>125.69253365929006</v>
      </c>
      <c r="J22" s="35"/>
      <c r="K22" s="35"/>
      <c r="L22" s="35"/>
      <c r="M22" s="101"/>
    </row>
    <row r="23" spans="2:21" ht="15" customHeight="1" x14ac:dyDescent="0.3">
      <c r="C23" s="34"/>
      <c r="D23" s="35"/>
      <c r="E23" s="35"/>
      <c r="F23" s="35"/>
      <c r="G23" s="36" t="s">
        <v>39</v>
      </c>
      <c r="H23" s="72">
        <f>U11</f>
        <v>16.393442622950822</v>
      </c>
      <c r="I23" s="74">
        <f>U19</f>
        <v>124.52304836547387</v>
      </c>
      <c r="J23" s="35"/>
      <c r="K23" s="35"/>
      <c r="L23" s="35"/>
      <c r="M23" s="101"/>
    </row>
    <row r="24" spans="2:21" x14ac:dyDescent="0.3">
      <c r="C24" s="34"/>
      <c r="D24" s="35"/>
      <c r="E24" s="35"/>
      <c r="F24" s="35"/>
      <c r="G24" s="36" t="s">
        <v>10</v>
      </c>
      <c r="H24" s="17">
        <f>MAX(O5:O9)</f>
        <v>15</v>
      </c>
      <c r="I24" s="17">
        <f>MAX(O13:O17)</f>
        <v>115</v>
      </c>
      <c r="J24" s="35"/>
      <c r="K24" s="35"/>
      <c r="L24" s="35"/>
      <c r="M24" s="101"/>
    </row>
    <row r="25" spans="2:21" ht="15" customHeight="1" x14ac:dyDescent="0.3">
      <c r="C25" s="34"/>
      <c r="D25" s="35"/>
      <c r="E25" s="35"/>
      <c r="F25" s="35"/>
      <c r="G25" s="36" t="s">
        <v>23</v>
      </c>
      <c r="H25" s="72">
        <f>MAX(P5:P9)</f>
        <v>16.666666666666668</v>
      </c>
      <c r="I25" s="74">
        <f>MAX(P13:P17)</f>
        <v>116.66666666666667</v>
      </c>
      <c r="J25" s="35"/>
      <c r="K25" s="76" t="s">
        <v>42</v>
      </c>
      <c r="L25" s="35"/>
      <c r="M25" s="101"/>
    </row>
    <row r="26" spans="2:21" x14ac:dyDescent="0.3">
      <c r="C26" s="34"/>
      <c r="D26" s="35"/>
      <c r="E26" s="35"/>
      <c r="F26" s="35"/>
      <c r="G26" s="36" t="s">
        <v>24</v>
      </c>
      <c r="H26" s="72">
        <f>MAX(Q5:Q9)</f>
        <v>16</v>
      </c>
      <c r="I26" s="74">
        <f>MAX(Q13:Q17)</f>
        <v>116</v>
      </c>
      <c r="J26" s="35"/>
      <c r="K26" s="76" t="s">
        <v>43</v>
      </c>
      <c r="L26" s="35"/>
      <c r="M26" s="101"/>
    </row>
    <row r="27" spans="2:21" x14ac:dyDescent="0.3">
      <c r="C27" s="34"/>
      <c r="D27" s="35"/>
      <c r="E27" s="35"/>
      <c r="F27" s="35"/>
      <c r="G27" s="36" t="s">
        <v>22</v>
      </c>
      <c r="H27" s="17">
        <f>MAX(R5:R9)</f>
        <v>20</v>
      </c>
      <c r="I27" s="17">
        <f>MAX(R13:R17)</f>
        <v>120</v>
      </c>
      <c r="J27" s="35"/>
      <c r="K27" s="35"/>
      <c r="L27" s="35"/>
      <c r="M27" s="101"/>
    </row>
    <row r="28" spans="2:21" ht="18" x14ac:dyDescent="0.3">
      <c r="C28" s="34"/>
      <c r="D28" s="35"/>
      <c r="E28" s="35"/>
      <c r="F28" s="35"/>
      <c r="G28" s="71" t="s">
        <v>21</v>
      </c>
      <c r="H28" s="17">
        <f>MAX(S5:S9)</f>
        <v>16.25</v>
      </c>
      <c r="I28" s="17">
        <f>MAX(S13:S17)</f>
        <v>116.25</v>
      </c>
      <c r="J28" s="37"/>
      <c r="K28" s="35"/>
      <c r="L28" s="35"/>
      <c r="M28" s="101"/>
    </row>
    <row r="29" spans="2:21" x14ac:dyDescent="0.3">
      <c r="C29" s="38"/>
      <c r="D29" s="39"/>
      <c r="E29" s="39"/>
      <c r="F29" s="39"/>
      <c r="G29" s="40" t="s">
        <v>26</v>
      </c>
      <c r="H29" s="17">
        <f>MAX(N5:N9)</f>
        <v>35</v>
      </c>
      <c r="I29" s="17">
        <f>MAX(N13:N17)</f>
        <v>122.8</v>
      </c>
      <c r="J29" s="39"/>
      <c r="K29" s="39"/>
      <c r="L29" s="39"/>
      <c r="M29" s="102"/>
    </row>
    <row r="30" spans="2:21" x14ac:dyDescent="0.3">
      <c r="C30" s="41"/>
      <c r="D30" s="42"/>
      <c r="E30" s="42"/>
      <c r="F30" s="42"/>
      <c r="G30" s="43" t="s">
        <v>5</v>
      </c>
      <c r="H30" s="18">
        <f>I10/D10</f>
        <v>371</v>
      </c>
      <c r="I30" s="18">
        <f>I18/D18</f>
        <v>371</v>
      </c>
      <c r="J30" s="42"/>
      <c r="K30" s="42"/>
      <c r="L30" s="42"/>
      <c r="M30" s="103"/>
    </row>
    <row r="31" spans="2:21" x14ac:dyDescent="0.3">
      <c r="C31" s="44"/>
      <c r="D31" s="45"/>
      <c r="E31" s="45"/>
      <c r="F31" s="45"/>
      <c r="G31" s="46" t="s">
        <v>8</v>
      </c>
      <c r="H31" s="29">
        <f>SQRT(H30)</f>
        <v>19.261360284258224</v>
      </c>
      <c r="I31" s="19">
        <f>SQRT(I30)</f>
        <v>19.261360284258224</v>
      </c>
      <c r="J31" s="77"/>
      <c r="K31" s="77" t="s">
        <v>42</v>
      </c>
      <c r="L31" s="45"/>
      <c r="M31" s="104"/>
    </row>
    <row r="32" spans="2:21" ht="15" customHeight="1" x14ac:dyDescent="0.3">
      <c r="C32" s="44"/>
      <c r="D32" s="45"/>
      <c r="E32" s="45"/>
      <c r="F32" s="45"/>
      <c r="G32" s="47" t="s">
        <v>12</v>
      </c>
      <c r="H32" s="18">
        <f>J10/D10</f>
        <v>9741</v>
      </c>
      <c r="I32" s="18">
        <f>J18/D18</f>
        <v>9741</v>
      </c>
      <c r="J32" s="77"/>
      <c r="K32" s="77" t="s">
        <v>44</v>
      </c>
      <c r="L32" s="45"/>
      <c r="M32" s="104"/>
    </row>
    <row r="33" spans="3:13" ht="15" customHeight="1" x14ac:dyDescent="0.3">
      <c r="C33" s="48"/>
      <c r="D33" s="49"/>
      <c r="E33" s="49"/>
      <c r="F33" s="49"/>
      <c r="G33" s="50" t="s">
        <v>13</v>
      </c>
      <c r="H33" s="18">
        <f>K10/D10</f>
        <v>568277</v>
      </c>
      <c r="I33" s="18">
        <f>K18/D18</f>
        <v>568277</v>
      </c>
      <c r="J33" s="49"/>
      <c r="K33" s="49"/>
      <c r="L33" s="49"/>
      <c r="M33" s="105"/>
    </row>
    <row r="34" spans="3:13" x14ac:dyDescent="0.3">
      <c r="C34" s="51"/>
      <c r="D34" s="52"/>
      <c r="E34" s="52"/>
      <c r="F34" s="52"/>
      <c r="G34" s="53" t="s">
        <v>27</v>
      </c>
      <c r="H34" s="20">
        <f>H31/H21</f>
        <v>0.71338371423178604</v>
      </c>
      <c r="I34" s="20">
        <f>I31/I21</f>
        <v>0.15166425420675766</v>
      </c>
      <c r="J34" s="78"/>
      <c r="K34" s="78" t="s">
        <v>45</v>
      </c>
      <c r="L34" s="52"/>
      <c r="M34" s="106"/>
    </row>
    <row r="35" spans="3:13" x14ac:dyDescent="0.3">
      <c r="C35" s="54"/>
      <c r="D35" s="55"/>
      <c r="E35" s="55"/>
      <c r="F35" s="55"/>
      <c r="G35" s="56" t="s">
        <v>28</v>
      </c>
      <c r="H35" s="20">
        <f>1-((M10-100)/(L10-100))</f>
        <v>0.36026936026936018</v>
      </c>
      <c r="I35" s="20">
        <f>1-((M18-100)/(L18-100))</f>
        <v>7.6592698639942669E-2</v>
      </c>
      <c r="J35" s="79"/>
      <c r="K35" s="79" t="s">
        <v>46</v>
      </c>
      <c r="L35" s="55"/>
      <c r="M35" s="107"/>
    </row>
    <row r="36" spans="3:13" x14ac:dyDescent="0.3">
      <c r="C36" s="57"/>
      <c r="D36" s="58"/>
      <c r="E36" s="58"/>
      <c r="F36" s="58"/>
      <c r="G36" s="59" t="s">
        <v>7</v>
      </c>
      <c r="H36" s="21">
        <f>H32/(H31^3)</f>
        <v>1.3631469586021556</v>
      </c>
      <c r="I36" s="21">
        <f>I32/(I31^3)</f>
        <v>1.3631469586021556</v>
      </c>
      <c r="J36" s="80"/>
      <c r="K36" s="80" t="s">
        <v>45</v>
      </c>
      <c r="L36" s="58"/>
      <c r="M36" s="108"/>
    </row>
    <row r="37" spans="3:13" x14ac:dyDescent="0.3">
      <c r="C37" s="60"/>
      <c r="D37" s="61"/>
      <c r="E37" s="61"/>
      <c r="F37" s="61"/>
      <c r="G37" s="62" t="s">
        <v>9</v>
      </c>
      <c r="H37" s="21">
        <f>(H33/(H31^4))-3</f>
        <v>1.1286898525875273</v>
      </c>
      <c r="I37" s="21">
        <f>(I33/(I31^4))-3</f>
        <v>1.1286898525875273</v>
      </c>
      <c r="J37" s="81"/>
      <c r="K37" s="81" t="s">
        <v>44</v>
      </c>
      <c r="L37" s="61"/>
      <c r="M37" s="109"/>
    </row>
    <row r="38" spans="3:13" x14ac:dyDescent="0.3">
      <c r="C38" s="75" t="s">
        <v>41</v>
      </c>
    </row>
    <row r="39" spans="3:13" x14ac:dyDescent="0.3">
      <c r="C39" s="75" t="s">
        <v>40</v>
      </c>
    </row>
  </sheetData>
  <sheetProtection password="B681" sheet="1" objects="1" scenarios="1" selectLockedCells="1"/>
  <mergeCells count="2">
    <mergeCell ref="A1:B2"/>
    <mergeCell ref="F1:I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4</xdr:col>
                    <xdr:colOff>106680</xdr:colOff>
                    <xdr:row>0</xdr:row>
                    <xdr:rowOff>30480</xdr:rowOff>
                  </from>
                  <to>
                    <xdr:col>4</xdr:col>
                    <xdr:colOff>495300</xdr:colOff>
                    <xdr:row>1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51"/>
  <sheetViews>
    <sheetView showGridLines="0" showRowColHeaders="0" tabSelected="1" zoomScaleNormal="100" workbookViewId="0">
      <selection activeCell="D19" sqref="D19"/>
    </sheetView>
  </sheetViews>
  <sheetFormatPr baseColWidth="10" defaultColWidth="11.44140625" defaultRowHeight="14.4" x14ac:dyDescent="0.3"/>
  <cols>
    <col min="1" max="1" width="1.44140625" style="4" customWidth="1"/>
    <col min="2" max="9" width="12.6640625" style="4" customWidth="1"/>
    <col min="10" max="10" width="13.44140625" style="4" bestFit="1" customWidth="1"/>
    <col min="11" max="11" width="26.6640625" style="4" customWidth="1"/>
    <col min="12" max="12" width="2.88671875" style="4" customWidth="1"/>
    <col min="13" max="13" width="26.6640625" style="4" customWidth="1"/>
    <col min="14" max="15" width="11.44140625" style="4" hidden="1" customWidth="1"/>
    <col min="16" max="16" width="11.44140625" style="4" customWidth="1"/>
    <col min="17" max="16384" width="11.44140625" style="4"/>
  </cols>
  <sheetData>
    <row r="1" spans="2:15" ht="10.5" customHeight="1" x14ac:dyDescent="0.3">
      <c r="N1" s="96">
        <v>1</v>
      </c>
      <c r="O1" s="96">
        <v>2</v>
      </c>
    </row>
    <row r="2" spans="2:15" x14ac:dyDescent="0.3">
      <c r="K2" s="122"/>
      <c r="N2" s="4">
        <f>IF(OR(D7="",D7=N9,D7=N10,D7=N11,D7=N12,D7=N13,D7=N14,D7=N15,D7=N16,D7=N17,D7=N18,D7=N19,D7&lt;MIN(N9:N19),D7&gt;MAX(N9:N19),N1=O1),"",77)</f>
        <v>77</v>
      </c>
    </row>
    <row r="7" spans="2:15" s="89" customFormat="1" ht="18" x14ac:dyDescent="0.35">
      <c r="C7" s="90" t="s">
        <v>29</v>
      </c>
      <c r="D7" s="91">
        <v>1225</v>
      </c>
      <c r="H7" s="90" t="s">
        <v>30</v>
      </c>
      <c r="I7" s="92" t="s">
        <v>34</v>
      </c>
      <c r="J7" s="93">
        <f>IF(D7="","",IF(N1=O1,D7,IF(D7=N9,O9,IF(OR(D7=N9,D7=N10,D7=N11,D7=N12,D7=N13,D7=N14,D7=N15,D7=N16,D7=N17,D7=N18,D7=N19),"BUSCA EN LA TABLA",IF(OR(D7&gt;MAX(N9:N19),D7&lt;MIN(N9:N19)),"",IF(N1&lt;O1,((C25-C31)*(G35-E35)/(I35-E35))+C31,IF(N1&gt;O1,((I35-E35)*(C28-C31)/(C25-C31))+E35,"")))))))</f>
        <v>33.75</v>
      </c>
      <c r="N7" s="94" t="s">
        <v>32</v>
      </c>
      <c r="O7" s="94" t="s">
        <v>33</v>
      </c>
    </row>
    <row r="8" spans="2:15" x14ac:dyDescent="0.3">
      <c r="N8" s="84" t="str">
        <f>IF(N1=1,"Li",IF(N1=2,"pi","qi"))</f>
        <v>Li</v>
      </c>
      <c r="O8" s="84" t="str">
        <f>IF(O1=1,"Li",IF(O1=2,"pi","qi"))</f>
        <v>pi</v>
      </c>
    </row>
    <row r="9" spans="2:15" ht="30.75" customHeight="1" x14ac:dyDescent="0.3">
      <c r="B9" s="6"/>
      <c r="C9" s="82">
        <f>B10</f>
        <v>100</v>
      </c>
      <c r="D9" s="7"/>
      <c r="E9" s="8"/>
      <c r="F9" s="8"/>
      <c r="G9" s="8"/>
      <c r="H9" s="8"/>
      <c r="I9" s="83">
        <v>0</v>
      </c>
      <c r="J9" s="83">
        <v>0</v>
      </c>
      <c r="N9" s="12">
        <f t="shared" ref="N9:N10" si="0">IF($N$1=1,C9,IF($N$1=2,I9,J9))</f>
        <v>100</v>
      </c>
      <c r="O9" s="12">
        <f t="shared" ref="O9:O10" si="1">IF($O$1=1,C9,IF($O$1=2,I9,J9))</f>
        <v>0</v>
      </c>
    </row>
    <row r="10" spans="2:15" x14ac:dyDescent="0.3">
      <c r="B10" s="110">
        <v>100</v>
      </c>
      <c r="C10" s="111">
        <v>400</v>
      </c>
      <c r="D10" s="112">
        <v>30</v>
      </c>
      <c r="E10" s="8">
        <f>IF(D10="","",(B10+C10)/2)</f>
        <v>250</v>
      </c>
      <c r="F10" s="12">
        <f>IF(D10="","",E10*D10)</f>
        <v>7500</v>
      </c>
      <c r="G10" s="12">
        <f>D10</f>
        <v>30</v>
      </c>
      <c r="H10" s="12">
        <f>F10</f>
        <v>7500</v>
      </c>
      <c r="I10" s="117">
        <f>IF(D10="","",100*G10/MAX(G10:G19))</f>
        <v>5</v>
      </c>
      <c r="J10" s="117">
        <f>IF(D10="","",100*H10/MAX(H10:H19))</f>
        <v>0.75987841945288759</v>
      </c>
      <c r="N10" s="12">
        <f t="shared" si="0"/>
        <v>400</v>
      </c>
      <c r="O10" s="12">
        <f t="shared" si="1"/>
        <v>5</v>
      </c>
    </row>
    <row r="11" spans="2:15" x14ac:dyDescent="0.3">
      <c r="B11" s="110">
        <v>400</v>
      </c>
      <c r="C11" s="111">
        <v>700</v>
      </c>
      <c r="D11" s="112">
        <v>90</v>
      </c>
      <c r="E11" s="8">
        <f t="shared" ref="E11:E19" si="2">IF(D11="","",(B11+C11)/2)</f>
        <v>550</v>
      </c>
      <c r="F11" s="12">
        <f t="shared" ref="F11:F19" si="3">IF(D11="","",E11*D11)</f>
        <v>49500</v>
      </c>
      <c r="G11" s="12">
        <f>IF(D11="","",G10+D11)</f>
        <v>120</v>
      </c>
      <c r="H11" s="12">
        <f>IF(D11="","",H10+F11)</f>
        <v>57000</v>
      </c>
      <c r="I11" s="117">
        <f t="shared" ref="I11:I19" si="4">IF(D11="","",100*G11/MAX(G11:G20))</f>
        <v>20</v>
      </c>
      <c r="J11" s="117">
        <f t="shared" ref="J11:J19" si="5">IF(D11="","",100*H11/MAX(H11:H20))</f>
        <v>5.7750759878419453</v>
      </c>
      <c r="N11" s="12">
        <f t="shared" ref="N11:N19" si="6">IF($N$1=1,C11,IF($N$1=2,I11,J11))</f>
        <v>700</v>
      </c>
      <c r="O11" s="12">
        <f t="shared" ref="O11:O19" si="7">IF($O$1=1,C11,IF($O$1=2,I11,J11))</f>
        <v>20</v>
      </c>
    </row>
    <row r="12" spans="2:15" x14ac:dyDescent="0.3">
      <c r="B12" s="110">
        <v>700</v>
      </c>
      <c r="C12" s="111">
        <v>1000</v>
      </c>
      <c r="D12" s="112">
        <v>60</v>
      </c>
      <c r="E12" s="8">
        <f t="shared" si="2"/>
        <v>850</v>
      </c>
      <c r="F12" s="12">
        <f t="shared" si="3"/>
        <v>51000</v>
      </c>
      <c r="G12" s="12">
        <f t="shared" ref="G12:G19" si="8">IF(D12="","",G11+D12)</f>
        <v>180</v>
      </c>
      <c r="H12" s="12">
        <f t="shared" ref="H12:H19" si="9">IF(D12="","",H11+F12)</f>
        <v>108000</v>
      </c>
      <c r="I12" s="117">
        <f t="shared" si="4"/>
        <v>30</v>
      </c>
      <c r="J12" s="117">
        <f t="shared" si="5"/>
        <v>10.94224924012158</v>
      </c>
      <c r="N12" s="12">
        <f t="shared" si="6"/>
        <v>1000</v>
      </c>
      <c r="O12" s="12">
        <f t="shared" si="7"/>
        <v>30</v>
      </c>
    </row>
    <row r="13" spans="2:15" x14ac:dyDescent="0.3">
      <c r="B13" s="110">
        <v>1000</v>
      </c>
      <c r="C13" s="111">
        <v>1300</v>
      </c>
      <c r="D13" s="112">
        <v>30</v>
      </c>
      <c r="E13" s="8">
        <f t="shared" si="2"/>
        <v>1150</v>
      </c>
      <c r="F13" s="12">
        <f t="shared" si="3"/>
        <v>34500</v>
      </c>
      <c r="G13" s="12">
        <f t="shared" si="8"/>
        <v>210</v>
      </c>
      <c r="H13" s="12">
        <f t="shared" si="9"/>
        <v>142500</v>
      </c>
      <c r="I13" s="117">
        <f t="shared" si="4"/>
        <v>35</v>
      </c>
      <c r="J13" s="117">
        <f t="shared" si="5"/>
        <v>14.437689969604863</v>
      </c>
      <c r="N13" s="12">
        <f t="shared" si="6"/>
        <v>1300</v>
      </c>
      <c r="O13" s="12">
        <f t="shared" si="7"/>
        <v>35</v>
      </c>
    </row>
    <row r="14" spans="2:15" x14ac:dyDescent="0.3">
      <c r="B14" s="110">
        <v>1300</v>
      </c>
      <c r="C14" s="111">
        <v>1600</v>
      </c>
      <c r="D14" s="112">
        <v>90</v>
      </c>
      <c r="E14" s="8">
        <f t="shared" si="2"/>
        <v>1450</v>
      </c>
      <c r="F14" s="12">
        <f t="shared" si="3"/>
        <v>130500</v>
      </c>
      <c r="G14" s="12">
        <f t="shared" si="8"/>
        <v>300</v>
      </c>
      <c r="H14" s="12">
        <f t="shared" si="9"/>
        <v>273000</v>
      </c>
      <c r="I14" s="117">
        <f t="shared" si="4"/>
        <v>50</v>
      </c>
      <c r="J14" s="117">
        <f t="shared" si="5"/>
        <v>27.659574468085108</v>
      </c>
      <c r="N14" s="12">
        <f t="shared" si="6"/>
        <v>1600</v>
      </c>
      <c r="O14" s="12">
        <f t="shared" si="7"/>
        <v>50</v>
      </c>
    </row>
    <row r="15" spans="2:15" x14ac:dyDescent="0.3">
      <c r="B15" s="110">
        <v>1600</v>
      </c>
      <c r="C15" s="111">
        <v>1900</v>
      </c>
      <c r="D15" s="112">
        <v>60</v>
      </c>
      <c r="E15" s="8">
        <f t="shared" si="2"/>
        <v>1750</v>
      </c>
      <c r="F15" s="12">
        <f t="shared" si="3"/>
        <v>105000</v>
      </c>
      <c r="G15" s="12">
        <f t="shared" si="8"/>
        <v>360</v>
      </c>
      <c r="H15" s="12">
        <f t="shared" si="9"/>
        <v>378000</v>
      </c>
      <c r="I15" s="117">
        <f t="shared" si="4"/>
        <v>60</v>
      </c>
      <c r="J15" s="117">
        <f t="shared" si="5"/>
        <v>38.297872340425535</v>
      </c>
      <c r="N15" s="12">
        <f t="shared" si="6"/>
        <v>1900</v>
      </c>
      <c r="O15" s="12">
        <f t="shared" si="7"/>
        <v>60</v>
      </c>
    </row>
    <row r="16" spans="2:15" x14ac:dyDescent="0.3">
      <c r="B16" s="110">
        <v>1900</v>
      </c>
      <c r="C16" s="111">
        <v>2200</v>
      </c>
      <c r="D16" s="112">
        <v>30</v>
      </c>
      <c r="E16" s="8">
        <f t="shared" si="2"/>
        <v>2050</v>
      </c>
      <c r="F16" s="12">
        <f t="shared" si="3"/>
        <v>61500</v>
      </c>
      <c r="G16" s="12">
        <f t="shared" si="8"/>
        <v>390</v>
      </c>
      <c r="H16" s="12">
        <f t="shared" si="9"/>
        <v>439500</v>
      </c>
      <c r="I16" s="117">
        <f t="shared" si="4"/>
        <v>65</v>
      </c>
      <c r="J16" s="117">
        <f t="shared" si="5"/>
        <v>44.528875379939208</v>
      </c>
      <c r="N16" s="12">
        <f t="shared" si="6"/>
        <v>2200</v>
      </c>
      <c r="O16" s="12">
        <f t="shared" si="7"/>
        <v>65</v>
      </c>
    </row>
    <row r="17" spans="2:15" x14ac:dyDescent="0.3">
      <c r="B17" s="110">
        <v>2200</v>
      </c>
      <c r="C17" s="111">
        <v>2500</v>
      </c>
      <c r="D17" s="112">
        <v>90</v>
      </c>
      <c r="E17" s="8">
        <f t="shared" si="2"/>
        <v>2350</v>
      </c>
      <c r="F17" s="12">
        <f t="shared" si="3"/>
        <v>211500</v>
      </c>
      <c r="G17" s="12">
        <f t="shared" si="8"/>
        <v>480</v>
      </c>
      <c r="H17" s="12">
        <f t="shared" si="9"/>
        <v>651000</v>
      </c>
      <c r="I17" s="117">
        <f t="shared" si="4"/>
        <v>80</v>
      </c>
      <c r="J17" s="117">
        <f t="shared" si="5"/>
        <v>65.957446808510639</v>
      </c>
      <c r="N17" s="12">
        <f t="shared" si="6"/>
        <v>2500</v>
      </c>
      <c r="O17" s="12">
        <f t="shared" si="7"/>
        <v>80</v>
      </c>
    </row>
    <row r="18" spans="2:15" x14ac:dyDescent="0.3">
      <c r="B18" s="110">
        <v>2500</v>
      </c>
      <c r="C18" s="111">
        <v>2800</v>
      </c>
      <c r="D18" s="112">
        <v>60</v>
      </c>
      <c r="E18" s="8">
        <f t="shared" si="2"/>
        <v>2650</v>
      </c>
      <c r="F18" s="12">
        <f t="shared" si="3"/>
        <v>159000</v>
      </c>
      <c r="G18" s="12">
        <f t="shared" si="8"/>
        <v>540</v>
      </c>
      <c r="H18" s="12">
        <f t="shared" si="9"/>
        <v>810000</v>
      </c>
      <c r="I18" s="117">
        <f t="shared" si="4"/>
        <v>90</v>
      </c>
      <c r="J18" s="117">
        <f t="shared" si="5"/>
        <v>82.066869300911847</v>
      </c>
      <c r="N18" s="12">
        <f t="shared" si="6"/>
        <v>2800</v>
      </c>
      <c r="O18" s="12">
        <f t="shared" si="7"/>
        <v>90</v>
      </c>
    </row>
    <row r="19" spans="2:15" x14ac:dyDescent="0.3">
      <c r="B19" s="110">
        <v>2800</v>
      </c>
      <c r="C19" s="111">
        <v>3100</v>
      </c>
      <c r="D19" s="112">
        <v>60</v>
      </c>
      <c r="E19" s="8">
        <f t="shared" si="2"/>
        <v>2950</v>
      </c>
      <c r="F19" s="12">
        <f t="shared" si="3"/>
        <v>177000</v>
      </c>
      <c r="G19" s="12">
        <f t="shared" si="8"/>
        <v>600</v>
      </c>
      <c r="H19" s="12">
        <f t="shared" si="9"/>
        <v>987000</v>
      </c>
      <c r="I19" s="117">
        <f t="shared" si="4"/>
        <v>100</v>
      </c>
      <c r="J19" s="117">
        <f t="shared" si="5"/>
        <v>100</v>
      </c>
      <c r="N19" s="12">
        <f t="shared" si="6"/>
        <v>3100</v>
      </c>
      <c r="O19" s="12">
        <f t="shared" si="7"/>
        <v>100</v>
      </c>
    </row>
    <row r="20" spans="2:15" x14ac:dyDescent="0.3">
      <c r="C20" s="27" t="s">
        <v>1</v>
      </c>
      <c r="D20" s="15">
        <f>SUM(D10:D19)</f>
        <v>600</v>
      </c>
      <c r="F20" s="4">
        <f>SUM(F10:F19)</f>
        <v>987000</v>
      </c>
      <c r="I20" s="118">
        <f>SUM(I10:I19)</f>
        <v>535</v>
      </c>
      <c r="J20" s="118">
        <f>SUM(J10:J19)</f>
        <v>390.42553191489361</v>
      </c>
    </row>
    <row r="23" spans="2:15" ht="18" x14ac:dyDescent="0.3">
      <c r="C23" s="139" t="str">
        <f>IF(N2="","",IF(MAX(N1:O1)=2,"pi","qi"))</f>
        <v>pi</v>
      </c>
      <c r="D23" s="86"/>
      <c r="I23" s="90" t="str">
        <f>IF(AND(MIN(N1:O1)=2,MAX(N1:O1)=3),"CURVA DE LORENZ","")</f>
        <v/>
      </c>
    </row>
    <row r="24" spans="2:15" x14ac:dyDescent="0.3">
      <c r="D24" s="85"/>
    </row>
    <row r="25" spans="2:15" ht="15.6" x14ac:dyDescent="0.3">
      <c r="C25" s="138">
        <f>IF(N1&lt;O1,IF(AND(N9&lt;D7,N10&gt;D7),O10,IF(AND(N10&lt;D7,N11&gt;D7),O11,IF(AND(N11&lt;D7,N12&gt;D7),O12,IF(AND(N12&lt;D7,N13&gt;D7),O13,IF(AND(N13&lt;D7,N14&gt;D7),O14,IF(AND(N14&lt;D7,N15&gt;D7),O15,IF(AND(N15&lt;D7,N16&gt;D7),O16,IF(AND(N16&lt;D7,N17&gt;D7),O17,IF(AND(N17&lt;D7,N18&gt;D7),O18,IF(AND(N18&lt;D7,N19&gt;D7),O19,"")))))))))),IF(N1&gt;O1,IF(AND(N9&lt;D7,N10&gt;D7),N10,IF(AND(N10&lt;D7,N11&gt;D7),N11,IF(AND(N11&lt;D7,N12&gt;D7),N12,IF(AND(N12&lt;D7,N13&gt;D7),N13,IF(AND(N13&lt;D7,N14&gt;D7),N14,IF(AND(N14&lt;D7,N15&gt;D7),N15,IF(AND(N15&lt;D7,N16&gt;D7),N16,IF(AND(N16&lt;D7,N17&gt;D7),N17,IF(AND(N17&lt;D7,N18&gt;D7),N18,IF(AND(N18&lt;D7,N19&gt;D7),N19,"")))))))))),""))</f>
        <v>35</v>
      </c>
      <c r="D25" s="85"/>
    </row>
    <row r="26" spans="2:15" ht="15.6" x14ac:dyDescent="0.3">
      <c r="C26" s="121"/>
      <c r="D26" s="85"/>
    </row>
    <row r="27" spans="2:15" ht="15.6" x14ac:dyDescent="0.3">
      <c r="C27" s="121"/>
      <c r="D27" s="85"/>
    </row>
    <row r="28" spans="2:15" ht="15.6" x14ac:dyDescent="0.3">
      <c r="C28" s="138" t="str">
        <f>IF(N2="","",IF(N1&gt;O1,D7,IF(N1&lt;O1,"x","")))</f>
        <v>x</v>
      </c>
      <c r="D28" s="85"/>
    </row>
    <row r="29" spans="2:15" ht="16.2" x14ac:dyDescent="0.35">
      <c r="C29" s="121"/>
      <c r="D29" s="85"/>
      <c r="K29" s="123" t="str">
        <f>IF(N2="","","bases")</f>
        <v>bases</v>
      </c>
      <c r="L29" s="87"/>
      <c r="M29" s="123" t="str">
        <f>IF(N2="","","alturas")</f>
        <v>alturas</v>
      </c>
    </row>
    <row r="30" spans="2:15" ht="15.6" x14ac:dyDescent="0.3">
      <c r="C30" s="121"/>
      <c r="D30" s="85"/>
    </row>
    <row r="31" spans="2:15" ht="15.75" customHeight="1" thickBot="1" x14ac:dyDescent="0.4">
      <c r="C31" s="138">
        <f>IF(N1&lt;O1,IF(AND(N9&lt;D7,N10&gt;D7),O9,IF(AND(N10&lt;D7,N11&gt;D7),O10,IF(AND(N11&lt;D7,N12&gt;D7),O11,IF(AND(N12&lt;D7,N13&gt;D7),O12,IF(AND(N13&lt;D7,N14&gt;D7),O13,IF(AND(N14&lt;D7,N15&gt;D7),O14,IF(AND(N15&lt;D7,N16&gt;D7),O15,IF(AND(N16&lt;D7,N17&gt;D7),O16,IF(AND(N17&lt;D7,N18&gt;D7),O17,IF(AND(N18&lt;D7,N19&gt;D7),O18,"")))))))))),IF(N1&gt;O1,IF(AND(N9&lt;D7,N10&gt;D7),N9,IF(AND(N10&lt;D7,N11&gt;D7),N10,IF(AND(N11&lt;D7,N12&gt;D7),N11,IF(AND(N12&lt;D7,N13&gt;D7),N12,IF(AND(N13&lt;D7,N14&gt;D7),N13,IF(AND(N14&lt;D7,N15&gt;D7),N14,IF(AND(N15&lt;D7,N16&gt;D7),N15,IF(AND(N16&lt;D7,N17&gt;D7),N16,IF(AND(N17&lt;D7,N18&gt;D7),N17,IF(AND(N18&lt;D7,N19&gt;D7),N18,"")))))))))),""))</f>
        <v>30</v>
      </c>
      <c r="D31" s="85"/>
      <c r="K31" s="115" t="str">
        <f>IF(N2="","",CONCATENATE(I35," - ",E35))</f>
        <v>1300 - 1000</v>
      </c>
      <c r="L31" s="135" t="s">
        <v>31</v>
      </c>
      <c r="M31" s="113" t="str">
        <f>IF(N2="","",CONCATENATE(C25," - ",C31))</f>
        <v>35 - 30</v>
      </c>
    </row>
    <row r="32" spans="2:15" ht="18" x14ac:dyDescent="0.35">
      <c r="D32" s="85"/>
      <c r="K32" s="116" t="str">
        <f>IF(N2="","",CONCATENATE(G35," - ",E35))</f>
        <v>1225 - 1000</v>
      </c>
      <c r="L32" s="135"/>
      <c r="M32" s="114" t="str">
        <f>IF(N2="","",CONCATENATE(C28," - ",C31))</f>
        <v>x - 30</v>
      </c>
    </row>
    <row r="33" spans="3:10" x14ac:dyDescent="0.3">
      <c r="D33" s="85"/>
    </row>
    <row r="34" spans="3:10" x14ac:dyDescent="0.3">
      <c r="D34" s="85"/>
    </row>
    <row r="35" spans="3:10" ht="19.5" customHeight="1" x14ac:dyDescent="0.3">
      <c r="D35" s="120" t="str">
        <f>IF(N2="","",IF(MIN(N1:O1)=1,"Li","pi"))</f>
        <v>Li</v>
      </c>
      <c r="E35" s="140">
        <f>IF(N1&gt;O1,IF(AND(N9&lt;D7,N10&gt;D7),O9,IF(AND(N10&lt;D7,N11&gt;D7),O10,IF(AND(N11&lt;D7,N12&gt;D7),O11,IF(AND(N12&lt;D7,N13&gt;D7),O12,IF(AND(N13&lt;D7,N14&gt;D7),O13,IF(AND(N14&lt;D7,N15&gt;D7),O14,IF(AND(N15&lt;D7,N16&gt;D7),O15,IF(AND(N16&lt;D7,N17&gt;D7),O16,IF(AND(N17&lt;D7,N18&gt;D7),O17,IF(AND(N18&lt;D7,N19&gt;D7),O18,"")))))))))),IF(N1&lt;O1,IF(AND(N9&lt;D7,N10&gt;D7),N9,IF(AND(N10&lt;D7,N11&gt;D7),N10,IF(AND(N11&lt;D7,N12&gt;D7),N11,IF(AND(N12&lt;D7,N13&gt;D7),N12,IF(AND(N13&lt;D7,N14&gt;D7),N13,IF(AND(N14&lt;D7,N15&gt;D7),N14,IF(AND(N15&lt;D7,N16&gt;D7),N15,IF(AND(N16&lt;D7,N17&gt;D7),N16,IF(AND(N17&lt;D7,N18&gt;D7),N17,IF(AND(N18&lt;D7,N19&gt;D7),N18,"")))))))))),""))</f>
        <v>1000</v>
      </c>
      <c r="F35" s="119"/>
      <c r="G35" s="140">
        <f>IF(N2="","",IF(N1&lt;O1,D7,IF(N1&gt;O1,"x","")))</f>
        <v>1225</v>
      </c>
      <c r="H35" s="119"/>
      <c r="I35" s="140">
        <f>IF(N1&gt;O1,IF(AND(N9&lt;D7,N10&gt;D7),O10,IF(AND(N10&lt;D7,N11&gt;D7),O11,IF(AND(N11&lt;D7,N12&gt;D7),O12,IF(AND(N12&lt;D7,N13&gt;D7),O13,IF(AND(N13&lt;D7,N14&gt;D7),O14,IF(AND(N14&lt;D7,N15&gt;D7),O15,IF(AND(N15&lt;D7,N16&gt;D7),O16,IF(AND(N16&lt;D7,N17&gt;D7),O17,IF(AND(N17&lt;D7,N18&gt;D7),O18,IF(AND(N18&lt;D7,N19&gt;D7),O19,"")))))))))),IF(N1&lt;O1,IF(AND(N9&lt;D7,N10&gt;D7),N10,IF(AND(N10&lt;D7,N11&gt;D7),N11,IF(AND(N11&lt;D7,N12&gt;D7),N12,IF(AND(N12&lt;D7,N13&gt;D7),N13,IF(AND(N13&lt;D7,N14&gt;D7),N14,IF(AND(N14&lt;D7,N15&gt;D7),N15,IF(AND(N15&lt;D7,N16&gt;D7),N16,IF(AND(N16&lt;D7,N17&gt;D7),N17,IF(AND(N17&lt;D7,N18&gt;D7),N18,IF(AND(N18&lt;D7,N19&gt;D7),N19,"")))))))))),""))</f>
        <v>1300</v>
      </c>
      <c r="J35" s="88"/>
    </row>
    <row r="36" spans="3:10" ht="42" customHeight="1" x14ac:dyDescent="0.3"/>
    <row r="37" spans="3:10" ht="18" x14ac:dyDescent="0.35">
      <c r="F37" s="124" t="str">
        <f>IF(N2="","",CONCATENATE(C25," - ",C31))</f>
        <v>35 - 30</v>
      </c>
    </row>
    <row r="38" spans="3:10" x14ac:dyDescent="0.3">
      <c r="D38" s="85"/>
    </row>
    <row r="39" spans="3:10" ht="18" x14ac:dyDescent="0.35">
      <c r="E39" s="125" t="str">
        <f>IF(N2="","",CONCATENATE(C28," - ",C31))</f>
        <v>x - 30</v>
      </c>
    </row>
    <row r="40" spans="3:10" ht="18" x14ac:dyDescent="0.35">
      <c r="H40" s="115"/>
    </row>
    <row r="42" spans="3:10" ht="18" x14ac:dyDescent="0.3">
      <c r="C42" s="95" t="str">
        <f>IF(N2="","",IF(MAX(N1:O1)=2,"pi","qi"))</f>
        <v>pi</v>
      </c>
      <c r="D42" s="140">
        <f>IF(N1&lt;O1,IF(AND(N9&lt;D7,N10&gt;D7),O9,IF(AND(N10&lt;D7,N11&gt;D7),O10,IF(AND(N11&lt;D7,N12&gt;D7),O11,IF(AND(N12&lt;D7,N13&gt;D7),O12,IF(AND(N13&lt;D7,N14&gt;D7),O13,IF(AND(N14&lt;D7,N15&gt;D7),O14,IF(AND(N15&lt;D7,N16&gt;D7),O15,IF(AND(N16&lt;D7,N17&gt;D7),O16,IF(AND(N17&lt;D7,N18&gt;D7),O17,IF(AND(N18&lt;D7,N19&gt;D7),O18,"")))))))))),IF(N1&gt;O1,IF(AND(N9&lt;D7,N10&gt;D7),N9,IF(AND(N10&lt;D7,N11&gt;D7),N10,IF(AND(N11&lt;D7,N12&gt;D7),N11,IF(AND(N12&lt;D7,N13&gt;D7),N12,IF(AND(N13&lt;D7,N14&gt;D7),N13,IF(AND(N14&lt;D7,N15&gt;D7),N14,IF(AND(N15&lt;D7,N16&gt;D7),N15,IF(AND(N16&lt;D7,N17&gt;D7),N16,IF(AND(N17&lt;D7,N18&gt;D7),N17,IF(AND(N18&lt;D7,N19&gt;D7),N18,"")))))))))),""))</f>
        <v>30</v>
      </c>
      <c r="F42" s="141" t="str">
        <f>IF(N2="","",IF(N1&gt;O1,D7,IF(N1&lt;O1,"x","")))</f>
        <v>x</v>
      </c>
      <c r="H42" s="140">
        <f>IF(N1&lt;O1,IF(AND(N9&lt;D7,N10&gt;D7),O10,IF(AND(N10&lt;D7,N11&gt;D7),O11,IF(AND(N11&lt;D7,N12&gt;D7),O12,IF(AND(N12&lt;D7,N13&gt;D7),O13,IF(AND(N13&lt;D7,N14&gt;D7),O14,IF(AND(N14&lt;D7,N15&gt;D7),O15,IF(AND(N15&lt;D7,N16&gt;D7),O16,IF(AND(N16&lt;D7,N17&gt;D7),O17,IF(AND(N17&lt;D7,N18&gt;D7),O18,IF(AND(N18&lt;D7,N19&gt;D7),O19,"")))))))))),IF(N1&gt;O1,IF(AND(N9&lt;D7,N10&gt;D7),N10,IF(AND(N10&lt;D7,N11&gt;D7),N11,IF(AND(N11&lt;D7,N12&gt;D7),N12,IF(AND(N12&lt;D7,N13&gt;D7),N13,IF(AND(N13&lt;D7,N14&gt;D7),N14,IF(AND(N14&lt;D7,N15&gt;D7),N15,IF(AND(N15&lt;D7,N16&gt;D7),N16,IF(AND(N16&lt;D7,N17&gt;D7),N17,IF(AND(N17&lt;D7,N18&gt;D7),N18,IF(AND(N18&lt;D7,N19&gt;D7),N19,"")))))))))),""))</f>
        <v>35</v>
      </c>
    </row>
    <row r="45" spans="3:10" ht="18" x14ac:dyDescent="0.3">
      <c r="C45" s="95" t="str">
        <f>IF(N2="","",IF(MIN(N1:O1)=1,"Li","pi"))</f>
        <v>Li</v>
      </c>
      <c r="D45" s="140">
        <f>IF(N1&gt;O1,IF(AND(N9&lt;D7,N10&gt;D7),O9,IF(AND(N10&lt;D7,N11&gt;D7),O10,IF(AND(N11&lt;D7,N12&gt;D7),O11,IF(AND(N12&lt;D7,N13&gt;D7),O12,IF(AND(N13&lt;D7,N14&gt;D7),O13,IF(AND(N14&lt;D7,N15&gt;D7),O14,IF(AND(N15&lt;D7,N16&gt;D7),O15,IF(AND(N16&lt;D7,N17&gt;D7),O16,IF(AND(N17&lt;D7,N18&gt;D7),O17,IF(AND(N18&lt;D7,N19&gt;D7),O18,"")))))))))),IF(N1&lt;O1,IF(AND(N9&lt;D7,N10&gt;D7),N9,IF(AND(N10&lt;D7,N11&gt;D7),N10,IF(AND(N11&lt;D7,N12&gt;D7),N11,IF(AND(N12&lt;D7,N13&gt;D7),N12,IF(AND(N13&lt;D7,N14&gt;D7),N13,IF(AND(N14&lt;D7,N15&gt;D7),N14,IF(AND(N15&lt;D7,N16&gt;D7),N15,IF(AND(N16&lt;D7,N17&gt;D7),N16,IF(AND(N17&lt;D7,N18&gt;D7),N17,IF(AND(N18&lt;D7,N19&gt;D7),N18,"")))))))))),""))</f>
        <v>1000</v>
      </c>
      <c r="F45" s="140">
        <f>IF(N2="","",IF(N1&lt;O1,D7,IF(N1&gt;O1,"x","")))</f>
        <v>1225</v>
      </c>
      <c r="H45" s="140">
        <f>IF(N1&gt;O1,IF(AND(N9&lt;D7,N10&gt;D7),O10,IF(AND(N10&lt;D7,N11&gt;D7),O11,IF(AND(N11&lt;D7,N12&gt;D7),O12,IF(AND(N12&lt;D7,N13&gt;D7),O13,IF(AND(N13&lt;D7,N14&gt;D7),O14,IF(AND(N14&lt;D7,N15&gt;D7),O15,IF(AND(N15&lt;D7,N16&gt;D7),O16,IF(AND(N16&lt;D7,N17&gt;D7),O17,IF(AND(N17&lt;D7,N18&gt;D7),O18,IF(AND(N18&lt;D7,N19&gt;D7),O19,"")))))))))),IF(N1&lt;O1,IF(AND(N9&lt;D7,N10&gt;D7),N10,IF(AND(N10&lt;D7,N11&gt;D7),N11,IF(AND(N11&lt;D7,N12&gt;D7),N12,IF(AND(N12&lt;D7,N13&gt;D7),N13,IF(AND(N13&lt;D7,N14&gt;D7),N14,IF(AND(N14&lt;D7,N15&gt;D7),N15,IF(AND(N15&lt;D7,N16&gt;D7),N16,IF(AND(N16&lt;D7,N17&gt;D7),N17,IF(AND(N17&lt;D7,N18&gt;D7),N18,IF(AND(N18&lt;D7,N19&gt;D7),N19,"")))))))))),""))</f>
        <v>1300</v>
      </c>
    </row>
    <row r="48" spans="3:10" ht="18" x14ac:dyDescent="0.35">
      <c r="E48" s="125" t="str">
        <f>IF(N2="","",CONCATENATE(G35," - ",E35))</f>
        <v>1225 - 1000</v>
      </c>
    </row>
    <row r="51" spans="6:6" ht="18" x14ac:dyDescent="0.35">
      <c r="F51" s="124" t="str">
        <f>IF(N2="","",CONCATENATE(I35," - ",E35))</f>
        <v>1300 - 1000</v>
      </c>
    </row>
  </sheetData>
  <sheetProtection algorithmName="SHA-512" hashValue="sXMnocoDJnZcbOclNhbS2jGM9PWrVCmGML+6xVoFnQ+UpHuLKS0HP63bWTE8lVlrv5MvWNk67gG6ea8tuX9JBg==" saltValue="I7eQWMeJGSZxevRc7mGlTQ==" spinCount="100000" sheet="1" objects="1" scenarios="1" formatColumns="0" selectLockedCells="1"/>
  <mergeCells count="1">
    <mergeCell ref="L31:L3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Group Box 3">
              <controlPr defaultSize="0" autoFill="0" autoPict="0" altText="CONOCEMOS">
                <anchor moveWithCells="1">
                  <from>
                    <xdr:col>1</xdr:col>
                    <xdr:colOff>30480</xdr:colOff>
                    <xdr:row>1</xdr:row>
                    <xdr:rowOff>30480</xdr:rowOff>
                  </from>
                  <to>
                    <xdr:col>4</xdr:col>
                    <xdr:colOff>457200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Option Button 4">
              <controlPr defaultSize="0" autoFill="0" autoLine="0" autoPict="0">
                <anchor moveWithCells="1">
                  <from>
                    <xdr:col>2</xdr:col>
                    <xdr:colOff>22860</xdr:colOff>
                    <xdr:row>2</xdr:row>
                    <xdr:rowOff>0</xdr:rowOff>
                  </from>
                  <to>
                    <xdr:col>3</xdr:col>
                    <xdr:colOff>723900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Option Button 5">
              <controlPr defaultSize="0" autoFill="0" autoLine="0" autoPict="0">
                <anchor moveWithCells="1">
                  <from>
                    <xdr:col>2</xdr:col>
                    <xdr:colOff>22860</xdr:colOff>
                    <xdr:row>3</xdr:row>
                    <xdr:rowOff>0</xdr:rowOff>
                  </from>
                  <to>
                    <xdr:col>3</xdr:col>
                    <xdr:colOff>723900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Option Button 6">
              <controlPr defaultSize="0" autoFill="0" autoLine="0" autoPict="0">
                <anchor moveWithCells="1">
                  <from>
                    <xdr:col>2</xdr:col>
                    <xdr:colOff>22860</xdr:colOff>
                    <xdr:row>4</xdr:row>
                    <xdr:rowOff>0</xdr:rowOff>
                  </from>
                  <to>
                    <xdr:col>3</xdr:col>
                    <xdr:colOff>723900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Group Box 7">
              <controlPr defaultSize="0" autoFill="0" autoPict="0" altText="QUEREMOS ESTIMAR">
                <anchor moveWithCells="1">
                  <from>
                    <xdr:col>6</xdr:col>
                    <xdr:colOff>30480</xdr:colOff>
                    <xdr:row>1</xdr:row>
                    <xdr:rowOff>30480</xdr:rowOff>
                  </from>
                  <to>
                    <xdr:col>9</xdr:col>
                    <xdr:colOff>601980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Option Button 8">
              <controlPr defaultSize="0" autoFill="0" autoLine="0" autoPict="0">
                <anchor moveWithCells="1">
                  <from>
                    <xdr:col>7</xdr:col>
                    <xdr:colOff>22860</xdr:colOff>
                    <xdr:row>2</xdr:row>
                    <xdr:rowOff>7620</xdr:rowOff>
                  </from>
                  <to>
                    <xdr:col>8</xdr:col>
                    <xdr:colOff>723900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Option Button 9">
              <controlPr defaultSize="0" autoFill="0" autoLine="0" autoPict="0">
                <anchor moveWithCells="1">
                  <from>
                    <xdr:col>7</xdr:col>
                    <xdr:colOff>22860</xdr:colOff>
                    <xdr:row>3</xdr:row>
                    <xdr:rowOff>0</xdr:rowOff>
                  </from>
                  <to>
                    <xdr:col>8</xdr:col>
                    <xdr:colOff>723900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Option Button 10">
              <controlPr defaultSize="0" autoFill="0" autoLine="0" autoPict="0">
                <anchor moveWithCells="1">
                  <from>
                    <xdr:col>7</xdr:col>
                    <xdr:colOff>22860</xdr:colOff>
                    <xdr:row>4</xdr:row>
                    <xdr:rowOff>0</xdr:rowOff>
                  </from>
                  <to>
                    <xdr:col>8</xdr:col>
                    <xdr:colOff>723900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ASIMETRIA</vt:lpstr>
      <vt:lpstr>APUNTAMIENTO</vt:lpstr>
      <vt:lpstr>CONCENTRACION</vt:lpstr>
      <vt:lpstr>ORIGEN Y ESCALA</vt:lpstr>
      <vt:lpstr>INTERPOLACION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ALBERTO HERMOSO GUTIÉRREZ</cp:lastModifiedBy>
  <dcterms:created xsi:type="dcterms:W3CDTF">2018-10-18T11:05:43Z</dcterms:created>
  <dcterms:modified xsi:type="dcterms:W3CDTF">2023-10-06T08:57:12Z</dcterms:modified>
</cp:coreProperties>
</file>