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1535" windowHeight="6270"/>
  </bookViews>
  <sheets>
    <sheet name="Proceso" sheetId="5" r:id="rId1"/>
  </sheets>
  <calcPr calcId="125725"/>
</workbook>
</file>

<file path=xl/calcChain.xml><?xml version="1.0" encoding="utf-8"?>
<calcChain xmlns="http://schemas.openxmlformats.org/spreadsheetml/2006/main">
  <c r="R11" i="5"/>
  <c r="S16"/>
  <c r="R16"/>
  <c r="S15"/>
  <c r="S14"/>
  <c r="S13"/>
  <c r="S8"/>
  <c r="S12"/>
  <c r="R8"/>
  <c r="C6"/>
  <c r="C5"/>
  <c r="Z5" s="1"/>
  <c r="C3"/>
  <c r="C2"/>
  <c r="Z2" s="1"/>
  <c r="T3"/>
  <c r="T4"/>
  <c r="T5"/>
  <c r="U5" s="1"/>
  <c r="T6"/>
  <c r="T7"/>
  <c r="T8"/>
  <c r="T9"/>
  <c r="T10"/>
  <c r="T11"/>
  <c r="T12"/>
  <c r="U12" s="1"/>
  <c r="T13"/>
  <c r="T14"/>
  <c r="T15"/>
  <c r="T16"/>
  <c r="T17"/>
  <c r="U17" s="1"/>
  <c r="T18"/>
  <c r="T19"/>
  <c r="T20"/>
  <c r="U20" s="1"/>
  <c r="T21"/>
  <c r="T22"/>
  <c r="T23"/>
  <c r="T24"/>
  <c r="T25"/>
  <c r="T2"/>
  <c r="U2" s="1"/>
  <c r="B35"/>
  <c r="B38" s="1"/>
  <c r="B75"/>
  <c r="B80" s="1"/>
  <c r="B54"/>
  <c r="B59" s="1"/>
  <c r="R3"/>
  <c r="U3" s="1"/>
  <c r="AC3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"/>
  <c r="Z3"/>
  <c r="Z6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7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"/>
  <c r="L20"/>
  <c r="Y20"/>
  <c r="L19"/>
  <c r="U19"/>
  <c r="Y19"/>
  <c r="E20"/>
  <c r="G20" s="1"/>
  <c r="R25"/>
  <c r="U25" s="1"/>
  <c r="R24"/>
  <c r="R23"/>
  <c r="U23" s="1"/>
  <c r="R22"/>
  <c r="R21"/>
  <c r="U21" s="1"/>
  <c r="R18"/>
  <c r="Y11"/>
  <c r="Y12"/>
  <c r="Y13"/>
  <c r="Y14"/>
  <c r="Y15"/>
  <c r="Y16"/>
  <c r="Y17"/>
  <c r="Y18"/>
  <c r="Y21"/>
  <c r="Y22"/>
  <c r="Y23"/>
  <c r="Y24"/>
  <c r="Y25"/>
  <c r="R10"/>
  <c r="U10" s="1"/>
  <c r="R9"/>
  <c r="U9" s="1"/>
  <c r="R7"/>
  <c r="R4"/>
  <c r="L11"/>
  <c r="L12"/>
  <c r="L13"/>
  <c r="L14"/>
  <c r="L15"/>
  <c r="L16"/>
  <c r="L17"/>
  <c r="L18"/>
  <c r="L21"/>
  <c r="L22"/>
  <c r="L23"/>
  <c r="L24"/>
  <c r="L25"/>
  <c r="L2"/>
  <c r="E2"/>
  <c r="G2" s="1"/>
  <c r="E3"/>
  <c r="G3" s="1"/>
  <c r="E5"/>
  <c r="G5" s="1"/>
  <c r="E6"/>
  <c r="G6" s="1"/>
  <c r="E7"/>
  <c r="G7" s="1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P18" s="1"/>
  <c r="AA18" s="1"/>
  <c r="E19"/>
  <c r="G19" s="1"/>
  <c r="E21"/>
  <c r="P21" s="1"/>
  <c r="AA21" s="1"/>
  <c r="E22"/>
  <c r="E23"/>
  <c r="G23" s="1"/>
  <c r="E24"/>
  <c r="G24" s="1"/>
  <c r="E25"/>
  <c r="G25" s="1"/>
  <c r="E4"/>
  <c r="G4" s="1"/>
  <c r="H4" s="1"/>
  <c r="C4"/>
  <c r="Z4" s="1"/>
  <c r="Y2"/>
  <c r="Y3"/>
  <c r="Y4"/>
  <c r="Y5"/>
  <c r="Y6"/>
  <c r="Y7"/>
  <c r="Y8"/>
  <c r="Y9"/>
  <c r="Y10"/>
  <c r="L3"/>
  <c r="U6"/>
  <c r="L7"/>
  <c r="L6"/>
  <c r="L9"/>
  <c r="L5"/>
  <c r="L4"/>
  <c r="L10"/>
  <c r="L8"/>
  <c r="B62"/>
  <c r="C62" s="1"/>
  <c r="F62" s="1"/>
  <c r="U8"/>
  <c r="B40"/>
  <c r="C40" s="1"/>
  <c r="F40" s="1"/>
  <c r="P23"/>
  <c r="B43"/>
  <c r="C43" s="1"/>
  <c r="F43" s="1"/>
  <c r="B60"/>
  <c r="D60" s="1"/>
  <c r="E60" s="1"/>
  <c r="P17"/>
  <c r="U14"/>
  <c r="U11"/>
  <c r="P11"/>
  <c r="AK11" s="1"/>
  <c r="P5"/>
  <c r="AA5" s="1"/>
  <c r="G21"/>
  <c r="H21" s="1"/>
  <c r="B81"/>
  <c r="D81" s="1"/>
  <c r="E81" s="1"/>
  <c r="B61"/>
  <c r="C61" s="1"/>
  <c r="F61" s="1"/>
  <c r="B58"/>
  <c r="C58" s="1"/>
  <c r="F58" s="1"/>
  <c r="B78"/>
  <c r="C78" s="1"/>
  <c r="F78" s="1"/>
  <c r="D43"/>
  <c r="E43" s="1"/>
  <c r="G18" l="1"/>
  <c r="H18" s="1"/>
  <c r="P12"/>
  <c r="AA12" s="1"/>
  <c r="P6"/>
  <c r="P22"/>
  <c r="AA22" s="1"/>
  <c r="U4"/>
  <c r="I25"/>
  <c r="H25"/>
  <c r="H23"/>
  <c r="I23"/>
  <c r="H16"/>
  <c r="I16"/>
  <c r="I14"/>
  <c r="H14"/>
  <c r="I12"/>
  <c r="H12"/>
  <c r="H10"/>
  <c r="I10"/>
  <c r="I8"/>
  <c r="H8"/>
  <c r="H6"/>
  <c r="I6"/>
  <c r="H3"/>
  <c r="I3"/>
  <c r="I24"/>
  <c r="H24"/>
  <c r="I19"/>
  <c r="H19"/>
  <c r="H17"/>
  <c r="I17"/>
  <c r="I15"/>
  <c r="H15"/>
  <c r="H13"/>
  <c r="I13"/>
  <c r="I11"/>
  <c r="H11"/>
  <c r="H9"/>
  <c r="I9"/>
  <c r="H7"/>
  <c r="I7"/>
  <c r="I5"/>
  <c r="H5"/>
  <c r="I2"/>
  <c r="H2"/>
  <c r="B79"/>
  <c r="D79" s="1"/>
  <c r="E79" s="1"/>
  <c r="P14"/>
  <c r="AA14" s="1"/>
  <c r="P13"/>
  <c r="AA13" s="1"/>
  <c r="P15"/>
  <c r="P25"/>
  <c r="AA25" s="1"/>
  <c r="P8"/>
  <c r="AA8" s="1"/>
  <c r="P10"/>
  <c r="AA10" s="1"/>
  <c r="P4"/>
  <c r="P9"/>
  <c r="AA9" s="1"/>
  <c r="P7"/>
  <c r="AA7" s="1"/>
  <c r="P3"/>
  <c r="AA3" s="1"/>
  <c r="U18"/>
  <c r="P2"/>
  <c r="AA2" s="1"/>
  <c r="D78"/>
  <c r="E78" s="1"/>
  <c r="I4"/>
  <c r="I18"/>
  <c r="C60"/>
  <c r="F60" s="1"/>
  <c r="D61"/>
  <c r="E61" s="1"/>
  <c r="D58"/>
  <c r="E58" s="1"/>
  <c r="I21"/>
  <c r="P24"/>
  <c r="AA24" s="1"/>
  <c r="AD24" s="1"/>
  <c r="P16"/>
  <c r="AA16" s="1"/>
  <c r="AK21"/>
  <c r="P19"/>
  <c r="AA19" s="1"/>
  <c r="P20"/>
  <c r="AA20" s="1"/>
  <c r="U7"/>
  <c r="AK7" s="1"/>
  <c r="U13"/>
  <c r="U15"/>
  <c r="AK15" s="1"/>
  <c r="U16"/>
  <c r="AA4"/>
  <c r="AK4"/>
  <c r="AK19"/>
  <c r="D80"/>
  <c r="E80" s="1"/>
  <c r="C80"/>
  <c r="F80" s="1"/>
  <c r="C59"/>
  <c r="F59" s="1"/>
  <c r="D59"/>
  <c r="E59" s="1"/>
  <c r="C38"/>
  <c r="F38" s="1"/>
  <c r="D38"/>
  <c r="E38" s="1"/>
  <c r="AK16"/>
  <c r="AK12"/>
  <c r="AK8"/>
  <c r="B82"/>
  <c r="B63"/>
  <c r="AK18"/>
  <c r="B83"/>
  <c r="B84"/>
  <c r="B39"/>
  <c r="G22"/>
  <c r="AA11"/>
  <c r="AA15"/>
  <c r="AA17"/>
  <c r="B57"/>
  <c r="B42"/>
  <c r="AA23"/>
  <c r="AD23" s="1"/>
  <c r="AK23" s="1"/>
  <c r="B41"/>
  <c r="B44"/>
  <c r="U22"/>
  <c r="U24"/>
  <c r="AK24" s="1"/>
  <c r="C81"/>
  <c r="F81" s="1"/>
  <c r="D40"/>
  <c r="E40" s="1"/>
  <c r="I20"/>
  <c r="H20"/>
  <c r="AK17"/>
  <c r="AK6"/>
  <c r="AA6"/>
  <c r="AK20"/>
  <c r="AK5"/>
  <c r="AK3"/>
  <c r="D62"/>
  <c r="E62" s="1"/>
  <c r="AK10" l="1"/>
  <c r="AK9"/>
  <c r="AK2"/>
  <c r="C79"/>
  <c r="F79" s="1"/>
  <c r="AK13"/>
  <c r="AK25"/>
  <c r="AK14"/>
  <c r="AK22"/>
  <c r="C41"/>
  <c r="F41" s="1"/>
  <c r="D41"/>
  <c r="E41" s="1"/>
  <c r="D42"/>
  <c r="E42" s="1"/>
  <c r="C42"/>
  <c r="F42" s="1"/>
  <c r="C39"/>
  <c r="F39" s="1"/>
  <c r="D39"/>
  <c r="E39" s="1"/>
  <c r="D83"/>
  <c r="E83" s="1"/>
  <c r="C83"/>
  <c r="F83" s="1"/>
  <c r="C63"/>
  <c r="D63"/>
  <c r="E63" s="1"/>
  <c r="C44"/>
  <c r="D44"/>
  <c r="E44" s="1"/>
  <c r="C57"/>
  <c r="F57" s="1"/>
  <c r="D57"/>
  <c r="E57" s="1"/>
  <c r="H22"/>
  <c r="I22"/>
  <c r="C84"/>
  <c r="D84"/>
  <c r="E84" s="1"/>
  <c r="D82"/>
  <c r="E82" s="1"/>
  <c r="C82"/>
  <c r="F82" s="1"/>
  <c r="F84" l="1"/>
  <c r="F44"/>
  <c r="F63"/>
</calcChain>
</file>

<file path=xl/sharedStrings.xml><?xml version="1.0" encoding="utf-8"?>
<sst xmlns="http://schemas.openxmlformats.org/spreadsheetml/2006/main" count="193" uniqueCount="78">
  <si>
    <t>TRAMO</t>
  </si>
  <si>
    <t>Q, m3/s</t>
  </si>
  <si>
    <t>V máx, m/s</t>
  </si>
  <si>
    <t>V, m/s</t>
  </si>
  <si>
    <t>L eq</t>
  </si>
  <si>
    <t>L total, m</t>
  </si>
  <si>
    <t>m, kg/h</t>
  </si>
  <si>
    <t>Estado</t>
  </si>
  <si>
    <t>D mín, m</t>
  </si>
  <si>
    <t>D mín, in</t>
  </si>
  <si>
    <t>D i, in</t>
  </si>
  <si>
    <t>DN, in</t>
  </si>
  <si>
    <t>Catálogo</t>
  </si>
  <si>
    <t>T, K</t>
  </si>
  <si>
    <t>L horiz, m</t>
  </si>
  <si>
    <t>L vert, m</t>
  </si>
  <si>
    <t>Re</t>
  </si>
  <si>
    <t>f</t>
  </si>
  <si>
    <t>CODOS 90°</t>
  </si>
  <si>
    <t>T</t>
  </si>
  <si>
    <t>T,ºC</t>
  </si>
  <si>
    <t>G, kg/(m2*s)</t>
  </si>
  <si>
    <t>L</t>
  </si>
  <si>
    <t>PR-101</t>
  </si>
  <si>
    <t>PR-102</t>
  </si>
  <si>
    <t>PR-103</t>
  </si>
  <si>
    <t>PR-104</t>
  </si>
  <si>
    <t>PR-105</t>
  </si>
  <si>
    <t>PR-201</t>
  </si>
  <si>
    <t>PR-202</t>
  </si>
  <si>
    <t>PR-203</t>
  </si>
  <si>
    <t>PR-204</t>
  </si>
  <si>
    <t>PR-205</t>
  </si>
  <si>
    <t>PR-206</t>
  </si>
  <si>
    <t>PR-301</t>
  </si>
  <si>
    <t>PR-303</t>
  </si>
  <si>
    <t>PR-402</t>
  </si>
  <si>
    <t>PR-504</t>
  </si>
  <si>
    <t>PR-601</t>
  </si>
  <si>
    <t>PR-602</t>
  </si>
  <si>
    <t>PR-603</t>
  </si>
  <si>
    <t>PR-604</t>
  </si>
  <si>
    <t>PR-605</t>
  </si>
  <si>
    <t>PR-606</t>
  </si>
  <si>
    <t>PR-607</t>
  </si>
  <si>
    <t>Q, m3/h</t>
  </si>
  <si>
    <t>AISI 316 nº catálogo 80</t>
  </si>
  <si>
    <t>D mín, cm</t>
  </si>
  <si>
    <t>AISI 316 nº catálogo 40</t>
  </si>
  <si>
    <t>D int, cm</t>
  </si>
  <si>
    <t>Espesor, cm</t>
  </si>
  <si>
    <t>PR-608</t>
  </si>
  <si>
    <t>V Mariposa</t>
  </si>
  <si>
    <t>Vretención</t>
  </si>
  <si>
    <t>E/D</t>
  </si>
  <si>
    <t>E Rugosidad</t>
  </si>
  <si>
    <t>Vcompuerta</t>
  </si>
  <si>
    <t>Tramo</t>
  </si>
  <si>
    <t>Q Kcal/h</t>
  </si>
  <si>
    <t>R3, m</t>
  </si>
  <si>
    <t>Text ºC</t>
  </si>
  <si>
    <t>Tint ºC</t>
  </si>
  <si>
    <t>V  m3/m</t>
  </si>
  <si>
    <t>€ calor</t>
  </si>
  <si>
    <t>€ aislante</t>
  </si>
  <si>
    <t>D ext, cm</t>
  </si>
  <si>
    <t>R2, m</t>
  </si>
  <si>
    <t>Pi</t>
  </si>
  <si>
    <t>Espesor, m</t>
  </si>
  <si>
    <t>PR-205 Y PR-206</t>
  </si>
  <si>
    <t>AISI 316 nº catálogo  80</t>
  </si>
  <si>
    <t>PR-505</t>
  </si>
  <si>
    <t>r, kg/m3</t>
  </si>
  <si>
    <t>m, Pa·s</t>
  </si>
  <si>
    <t>AISLAMIENTO</t>
  </si>
  <si>
    <t>Dh, m.c.a</t>
  </si>
  <si>
    <t>he (Kcal/h m2 ºC )</t>
  </si>
  <si>
    <t xml:space="preserve">ka Kcal/h m ºC  </t>
  </si>
</sst>
</file>

<file path=xl/styles.xml><?xml version="1.0" encoding="utf-8"?>
<styleSheet xmlns="http://schemas.openxmlformats.org/spreadsheetml/2006/main">
  <numFmts count="6">
    <numFmt numFmtId="164" formatCode="0.00000000"/>
    <numFmt numFmtId="165" formatCode="0.00000"/>
    <numFmt numFmtId="166" formatCode="0.0000"/>
    <numFmt numFmtId="167" formatCode="0.000"/>
    <numFmt numFmtId="168" formatCode="0.0"/>
    <numFmt numFmtId="169" formatCode="#,##0.0000000"/>
  </numFmts>
  <fonts count="11">
    <font>
      <sz val="10"/>
      <name val="Times New Roman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7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2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8" fontId="1" fillId="0" borderId="0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Alignment="1"/>
    <xf numFmtId="0" fontId="6" fillId="0" borderId="0" xfId="0" applyFont="1" applyBorder="1" applyAlignment="1">
      <alignment vertical="top" wrapText="1"/>
    </xf>
    <xf numFmtId="12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11" fontId="1" fillId="0" borderId="0" xfId="0" applyNumberFormat="1" applyFont="1" applyBorder="1" applyAlignment="1">
      <alignment horizontal="center"/>
    </xf>
    <xf numFmtId="0" fontId="1" fillId="0" borderId="0" xfId="0" applyNumberFormat="1" applyFont="1"/>
    <xf numFmtId="0" fontId="4" fillId="0" borderId="0" xfId="0" applyFont="1"/>
    <xf numFmtId="167" fontId="4" fillId="0" borderId="0" xfId="0" applyNumberFormat="1" applyFont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8" fillId="3" borderId="0" xfId="0" applyFont="1" applyFill="1" applyBorder="1" applyAlignment="1">
      <alignment vertical="top" wrapText="1"/>
    </xf>
    <xf numFmtId="0" fontId="9" fillId="3" borderId="0" xfId="0" applyFont="1" applyFill="1" applyBorder="1"/>
    <xf numFmtId="0" fontId="9" fillId="3" borderId="0" xfId="0" applyFont="1" applyFill="1" applyAlignment="1"/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1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168" fontId="9" fillId="3" borderId="0" xfId="0" applyNumberFormat="1" applyFont="1" applyFill="1" applyBorder="1" applyAlignment="1">
      <alignment horizontal="center"/>
    </xf>
    <xf numFmtId="11" fontId="9" fillId="3" borderId="0" xfId="0" applyNumberFormat="1" applyFont="1" applyFill="1" applyBorder="1" applyAlignment="1">
      <alignment horizontal="center"/>
    </xf>
    <xf numFmtId="169" fontId="9" fillId="3" borderId="0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scatterChart>
        <c:scatterStyle val="smoothMarker"/>
        <c:ser>
          <c:idx val="0"/>
          <c:order val="0"/>
          <c:tx>
            <c:v>Coste Aislante</c:v>
          </c:tx>
          <c:xVal>
            <c:numRef>
              <c:f>Proceso!$A$38:$A$43</c:f>
              <c:numCache>
                <c:formatCode>General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xVal>
          <c:yVal>
            <c:numRef>
              <c:f>Proceso!$E$38:$E$43</c:f>
              <c:numCache>
                <c:formatCode>General</c:formatCode>
                <c:ptCount val="6"/>
                <c:pt idx="0">
                  <c:v>0</c:v>
                </c:pt>
                <c:pt idx="1">
                  <c:v>2.0687436000000003E-3</c:v>
                </c:pt>
                <c:pt idx="2">
                  <c:v>4.9228872000000009E-3</c:v>
                </c:pt>
                <c:pt idx="3">
                  <c:v>8.5624307999999996E-3</c:v>
                </c:pt>
                <c:pt idx="4">
                  <c:v>1.2987374399999998E-2</c:v>
                </c:pt>
                <c:pt idx="5">
                  <c:v>1.8197718000000002E-2</c:v>
                </c:pt>
              </c:numCache>
            </c:numRef>
          </c:yVal>
          <c:smooth val="1"/>
        </c:ser>
        <c:ser>
          <c:idx val="1"/>
          <c:order val="1"/>
          <c:tx>
            <c:v>Coste Calor €</c:v>
          </c:tx>
          <c:xVal>
            <c:numRef>
              <c:f>Proceso!$A$38:$A$43</c:f>
              <c:numCache>
                <c:formatCode>General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xVal>
          <c:yVal>
            <c:numRef>
              <c:f>Proceso!$F$38:$F$43</c:f>
              <c:numCache>
                <c:formatCode>General</c:formatCode>
                <c:ptCount val="6"/>
                <c:pt idx="0">
                  <c:v>1.3877641007999994E-2</c:v>
                </c:pt>
                <c:pt idx="1">
                  <c:v>6.1182110209859241E-3</c:v>
                </c:pt>
                <c:pt idx="2">
                  <c:v>4.2734993297328687E-3</c:v>
                </c:pt>
                <c:pt idx="3">
                  <c:v>3.4336857457233244E-3</c:v>
                </c:pt>
                <c:pt idx="4">
                  <c:v>2.9471129023701218E-3</c:v>
                </c:pt>
                <c:pt idx="5">
                  <c:v>2.626396380734957E-3</c:v>
                </c:pt>
              </c:numCache>
            </c:numRef>
          </c:yVal>
          <c:smooth val="1"/>
        </c:ser>
        <c:axId val="65219200"/>
        <c:axId val="65238144"/>
      </c:scatterChart>
      <c:valAx>
        <c:axId val="65219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Espesor asilante, m  </a:t>
                </a:r>
              </a:p>
            </c:rich>
          </c:tx>
          <c:layout/>
        </c:title>
        <c:numFmt formatCode="General" sourceLinked="1"/>
        <c:majorTickMark val="in"/>
        <c:min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38144"/>
        <c:crosses val="autoZero"/>
        <c:crossBetween val="midCat"/>
      </c:valAx>
      <c:valAx>
        <c:axId val="65238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Coste,</a:t>
                </a:r>
                <a:r>
                  <a:rPr lang="es-ES" baseline="0"/>
                  <a:t> €</a:t>
                </a:r>
                <a:endParaRPr lang="es-ES"/>
              </a:p>
            </c:rich>
          </c:tx>
          <c:layout/>
        </c:title>
        <c:numFmt formatCode="General" sourceLinked="1"/>
        <c:majorTickMark val="none"/>
        <c:tickLblPos val="nextTo"/>
        <c:crossAx val="65219200"/>
        <c:crosses val="autoZero"/>
        <c:crossBetween val="midCat"/>
      </c:valAx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7066073747151034"/>
          <c:y val="7.5758643277040433E-2"/>
          <c:w val="0.7617809875676369"/>
          <c:h val="0.60632864857172564"/>
        </c:manualLayout>
      </c:layout>
      <c:scatterChart>
        <c:scatterStyle val="smoothMarker"/>
        <c:ser>
          <c:idx val="0"/>
          <c:order val="0"/>
          <c:tx>
            <c:v>Coste Aislante €</c:v>
          </c:tx>
          <c:xVal>
            <c:numRef>
              <c:f>Proceso!$A$57:$A$62</c:f>
              <c:numCache>
                <c:formatCode>General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xVal>
          <c:yVal>
            <c:numRef>
              <c:f>Proceso!$E$57:$E$62</c:f>
              <c:numCache>
                <c:formatCode>General</c:formatCode>
                <c:ptCount val="6"/>
                <c:pt idx="0">
                  <c:v>0</c:v>
                </c:pt>
                <c:pt idx="1">
                  <c:v>4.5820235999999995E-3</c:v>
                </c:pt>
                <c:pt idx="2">
                  <c:v>9.9494471999999994E-3</c:v>
                </c:pt>
                <c:pt idx="3">
                  <c:v>1.6102270799999999E-2</c:v>
                </c:pt>
                <c:pt idx="4">
                  <c:v>2.3040494400000004E-2</c:v>
                </c:pt>
                <c:pt idx="5">
                  <c:v>3.0764118E-2</c:v>
                </c:pt>
              </c:numCache>
            </c:numRef>
          </c:yVal>
          <c:smooth val="1"/>
        </c:ser>
        <c:ser>
          <c:idx val="1"/>
          <c:order val="1"/>
          <c:tx>
            <c:v>Coste Calor €</c:v>
          </c:tx>
          <c:xVal>
            <c:numRef>
              <c:f>Proceso!$A$57:$A$62</c:f>
              <c:numCache>
                <c:formatCode>General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xVal>
          <c:yVal>
            <c:numRef>
              <c:f>Proceso!$F$57:$F$62</c:f>
              <c:numCache>
                <c:formatCode>General</c:formatCode>
                <c:ptCount val="6"/>
                <c:pt idx="0">
                  <c:v>2.8051710825599999E-2</c:v>
                </c:pt>
                <c:pt idx="1">
                  <c:v>1.0722811238266664E-2</c:v>
                </c:pt>
                <c:pt idx="2">
                  <c:v>6.987387346133132E-3</c:v>
                </c:pt>
                <c:pt idx="3">
                  <c:v>5.3462637523292254E-3</c:v>
                </c:pt>
                <c:pt idx="4">
                  <c:v>4.4187701140085385E-3</c:v>
                </c:pt>
                <c:pt idx="5">
                  <c:v>3.8198186312549893E-3</c:v>
                </c:pt>
              </c:numCache>
            </c:numRef>
          </c:yVal>
          <c:smooth val="1"/>
        </c:ser>
        <c:axId val="65259008"/>
        <c:axId val="65260928"/>
      </c:scatterChart>
      <c:valAx>
        <c:axId val="65259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aislante, m</a:t>
                </a:r>
              </a:p>
            </c:rich>
          </c:tx>
          <c:layout/>
        </c:title>
        <c:numFmt formatCode="General" sourceLinked="1"/>
        <c:majorTickMark val="in"/>
        <c:min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60928"/>
        <c:crosses val="autoZero"/>
        <c:crossBetween val="midCat"/>
      </c:valAx>
      <c:valAx>
        <c:axId val="652609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Coste,</a:t>
                </a:r>
                <a:r>
                  <a:rPr lang="es-ES" baseline="0"/>
                  <a:t> €</a:t>
                </a:r>
                <a:endParaRPr lang="es-ES"/>
              </a:p>
            </c:rich>
          </c:tx>
          <c:layout/>
        </c:title>
        <c:numFmt formatCode="General" sourceLinked="1"/>
        <c:majorTickMark val="none"/>
        <c:tickLblPos val="nextTo"/>
        <c:crossAx val="65259008"/>
        <c:crosses val="autoZero"/>
        <c:crossBetween val="midCat"/>
      </c:valAx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7066073747151034"/>
          <c:y val="7.5758643277040433E-2"/>
          <c:w val="0.7617809875676369"/>
          <c:h val="0.60632864857172564"/>
        </c:manualLayout>
      </c:layout>
      <c:scatterChart>
        <c:scatterStyle val="smoothMarker"/>
        <c:ser>
          <c:idx val="0"/>
          <c:order val="0"/>
          <c:tx>
            <c:v>Coste Aislante €</c:v>
          </c:tx>
          <c:xVal>
            <c:numRef>
              <c:f>Proceso!$A$78:$A$83</c:f>
              <c:numCache>
                <c:formatCode>General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xVal>
          <c:yVal>
            <c:numRef>
              <c:f>Proceso!$E$78:$E$83</c:f>
              <c:numCache>
                <c:formatCode>General</c:formatCode>
                <c:ptCount val="6"/>
                <c:pt idx="0">
                  <c:v>0</c:v>
                </c:pt>
                <c:pt idx="1">
                  <c:v>6.8738208000000004E-3</c:v>
                </c:pt>
                <c:pt idx="2">
                  <c:v>1.4533041600000003E-2</c:v>
                </c:pt>
                <c:pt idx="3">
                  <c:v>2.2977662400000005E-2</c:v>
                </c:pt>
                <c:pt idx="4">
                  <c:v>3.2207683200000004E-2</c:v>
                </c:pt>
                <c:pt idx="5">
                  <c:v>4.2223104000000011E-2</c:v>
                </c:pt>
              </c:numCache>
            </c:numRef>
          </c:yVal>
          <c:smooth val="1"/>
        </c:ser>
        <c:ser>
          <c:idx val="1"/>
          <c:order val="1"/>
          <c:tx>
            <c:v>Coste Calor €</c:v>
          </c:tx>
          <c:xVal>
            <c:numRef>
              <c:f>Proceso!$A$78:$A$83</c:f>
              <c:numCache>
                <c:formatCode>General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xVal>
          <c:yVal>
            <c:numRef>
              <c:f>Proceso!$F$78:$F$83</c:f>
              <c:numCache>
                <c:formatCode>General</c:formatCode>
                <c:ptCount val="6"/>
                <c:pt idx="0">
                  <c:v>4.8997273247999996E-2</c:v>
                </c:pt>
                <c:pt idx="1">
                  <c:v>1.8021557259475501E-2</c:v>
                </c:pt>
                <c:pt idx="2">
                  <c:v>1.1472001212894128E-2</c:v>
                </c:pt>
                <c:pt idx="3">
                  <c:v>8.6171431501450204E-3</c:v>
                </c:pt>
                <c:pt idx="4">
                  <c:v>7.0135969227916057E-3</c:v>
                </c:pt>
                <c:pt idx="5">
                  <c:v>5.9837873952516534E-3</c:v>
                </c:pt>
              </c:numCache>
            </c:numRef>
          </c:yVal>
          <c:smooth val="1"/>
        </c:ser>
        <c:axId val="63406080"/>
        <c:axId val="63408000"/>
      </c:scatterChart>
      <c:valAx>
        <c:axId val="63406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aislante, m</a:t>
                </a:r>
              </a:p>
            </c:rich>
          </c:tx>
        </c:title>
        <c:numFmt formatCode="General" sourceLinked="1"/>
        <c:majorTickMark val="in"/>
        <c:min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3408000"/>
        <c:crosses val="autoZero"/>
        <c:crossBetween val="midCat"/>
      </c:valAx>
      <c:valAx>
        <c:axId val="634080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Coste,</a:t>
                </a:r>
                <a:r>
                  <a:rPr lang="es-ES" baseline="0"/>
                  <a:t> €</a:t>
                </a:r>
                <a:endParaRPr lang="es-ES"/>
              </a:p>
            </c:rich>
          </c:tx>
        </c:title>
        <c:numFmt formatCode="General" sourceLinked="1"/>
        <c:majorTickMark val="none"/>
        <c:tickLblPos val="nextTo"/>
        <c:crossAx val="63406080"/>
        <c:crosses val="autoZero"/>
        <c:crossBetween val="midCat"/>
      </c:valAx>
    </c:plotArea>
    <c:legend>
      <c:legendPos val="b"/>
    </c:legend>
    <c:plotVisOnly val="1"/>
    <c:dispBlanksAs val="gap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142875</xdr:rowOff>
    </xdr:from>
    <xdr:to>
      <xdr:col>13</xdr:col>
      <xdr:colOff>457200</xdr:colOff>
      <xdr:row>50</xdr:row>
      <xdr:rowOff>95250</xdr:rowOff>
    </xdr:to>
    <xdr:graphicFrame macro="">
      <xdr:nvGraphicFramePr>
        <xdr:cNvPr id="14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52</xdr:row>
      <xdr:rowOff>142875</xdr:rowOff>
    </xdr:from>
    <xdr:to>
      <xdr:col>13</xdr:col>
      <xdr:colOff>485775</xdr:colOff>
      <xdr:row>70</xdr:row>
      <xdr:rowOff>95250</xdr:rowOff>
    </xdr:to>
    <xdr:graphicFrame macro="">
      <xdr:nvGraphicFramePr>
        <xdr:cNvPr id="142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73</xdr:row>
      <xdr:rowOff>19050</xdr:rowOff>
    </xdr:from>
    <xdr:to>
      <xdr:col>13</xdr:col>
      <xdr:colOff>476250</xdr:colOff>
      <xdr:row>88</xdr:row>
      <xdr:rowOff>133350</xdr:rowOff>
    </xdr:to>
    <xdr:graphicFrame macro="">
      <xdr:nvGraphicFramePr>
        <xdr:cNvPr id="142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14"/>
  <sheetViews>
    <sheetView tabSelected="1" zoomScaleNormal="100" workbookViewId="0">
      <selection activeCell="A48" sqref="A48"/>
    </sheetView>
  </sheetViews>
  <sheetFormatPr baseColWidth="10" defaultRowHeight="12.75"/>
  <cols>
    <col min="1" max="1" width="17.33203125" customWidth="1"/>
    <col min="2" max="2" width="12.6640625" customWidth="1"/>
    <col min="3" max="3" width="14.1640625" customWidth="1"/>
    <col min="4" max="4" width="17" customWidth="1"/>
    <col min="5" max="5" width="13.5" customWidth="1"/>
    <col min="6" max="6" width="16.6640625" customWidth="1"/>
    <col min="7" max="7" width="14.5" customWidth="1"/>
    <col min="8" max="8" width="13" customWidth="1"/>
    <col min="9" max="9" width="12.33203125" customWidth="1"/>
    <col min="10" max="10" width="10.33203125" customWidth="1"/>
    <col min="11" max="11" width="25.6640625" customWidth="1"/>
    <col min="13" max="13" width="13.5" customWidth="1"/>
    <col min="14" max="14" width="15.6640625" customWidth="1"/>
    <col min="15" max="15" width="12.83203125" customWidth="1"/>
    <col min="16" max="16" width="13.33203125" customWidth="1"/>
    <col min="17" max="17" width="18.33203125" customWidth="1"/>
    <col min="23" max="23" width="12.1640625" bestFit="1" customWidth="1"/>
    <col min="26" max="26" width="14.5" bestFit="1" customWidth="1"/>
    <col min="27" max="27" width="14.33203125" bestFit="1" customWidth="1"/>
    <col min="28" max="28" width="16.83203125" customWidth="1"/>
    <col min="30" max="30" width="12.33203125" customWidth="1"/>
    <col min="31" max="31" width="17.83203125" customWidth="1"/>
    <col min="32" max="32" width="14.83203125" customWidth="1"/>
    <col min="33" max="33" width="15.6640625" customWidth="1"/>
    <col min="34" max="34" width="16.33203125" customWidth="1"/>
    <col min="35" max="35" width="17.5" customWidth="1"/>
    <col min="37" max="37" width="13.6640625" customWidth="1"/>
  </cols>
  <sheetData>
    <row r="1" spans="1:38" s="33" customFormat="1" ht="15.75">
      <c r="A1" s="31" t="s">
        <v>0</v>
      </c>
      <c r="B1" s="32" t="s">
        <v>7</v>
      </c>
      <c r="C1" s="32" t="s">
        <v>6</v>
      </c>
      <c r="D1" s="32" t="s">
        <v>45</v>
      </c>
      <c r="E1" s="32" t="s">
        <v>1</v>
      </c>
      <c r="F1" s="32" t="s">
        <v>2</v>
      </c>
      <c r="G1" s="32" t="s">
        <v>8</v>
      </c>
      <c r="H1" s="32" t="s">
        <v>47</v>
      </c>
      <c r="I1" s="32" t="s">
        <v>9</v>
      </c>
      <c r="J1" s="32" t="s">
        <v>11</v>
      </c>
      <c r="K1" s="32" t="s">
        <v>12</v>
      </c>
      <c r="L1" s="32" t="s">
        <v>10</v>
      </c>
      <c r="M1" s="32" t="s">
        <v>49</v>
      </c>
      <c r="N1" s="32" t="s">
        <v>50</v>
      </c>
      <c r="O1" s="32" t="s">
        <v>65</v>
      </c>
      <c r="P1" s="32" t="s">
        <v>3</v>
      </c>
      <c r="Q1" s="32" t="s">
        <v>0</v>
      </c>
      <c r="R1" s="32" t="s">
        <v>14</v>
      </c>
      <c r="S1" s="32" t="s">
        <v>15</v>
      </c>
      <c r="T1" s="32" t="s">
        <v>4</v>
      </c>
      <c r="U1" s="32" t="s">
        <v>5</v>
      </c>
      <c r="V1" s="32" t="s">
        <v>72</v>
      </c>
      <c r="W1" s="32" t="s">
        <v>73</v>
      </c>
      <c r="X1" s="32" t="s">
        <v>20</v>
      </c>
      <c r="Y1" s="32" t="s">
        <v>13</v>
      </c>
      <c r="Z1" s="32" t="s">
        <v>21</v>
      </c>
      <c r="AA1" s="32" t="s">
        <v>16</v>
      </c>
      <c r="AB1" s="32" t="s">
        <v>55</v>
      </c>
      <c r="AC1" s="32" t="s">
        <v>54</v>
      </c>
      <c r="AD1" s="32" t="s">
        <v>17</v>
      </c>
      <c r="AE1" s="32"/>
      <c r="AF1" s="32" t="s">
        <v>52</v>
      </c>
      <c r="AG1" s="32" t="s">
        <v>53</v>
      </c>
      <c r="AH1" s="32" t="s">
        <v>56</v>
      </c>
      <c r="AI1" s="32" t="s">
        <v>18</v>
      </c>
      <c r="AJ1" s="32" t="s">
        <v>19</v>
      </c>
      <c r="AK1" s="32" t="s">
        <v>75</v>
      </c>
    </row>
    <row r="2" spans="1:38" ht="15">
      <c r="A2" s="24" t="s">
        <v>23</v>
      </c>
      <c r="B2" s="12" t="s">
        <v>22</v>
      </c>
      <c r="C2" s="13">
        <f>D2*1075</f>
        <v>12362.5</v>
      </c>
      <c r="D2" s="22">
        <v>11.5</v>
      </c>
      <c r="E2" s="11">
        <f>D2/(3600)</f>
        <v>3.1944444444444446E-3</v>
      </c>
      <c r="F2" s="11">
        <v>0.6</v>
      </c>
      <c r="G2" s="14">
        <f t="shared" ref="G2:G25" si="0">SQRT(4*E2/(PI()*F2))</f>
        <v>8.233359976467905E-2</v>
      </c>
      <c r="H2" s="14">
        <f>G2*100</f>
        <v>8.2333599764679057</v>
      </c>
      <c r="I2" s="14">
        <f t="shared" ref="I2:I25" si="1">G2/0.0254</f>
        <v>3.2414803056960255</v>
      </c>
      <c r="J2" s="25">
        <v>3.5</v>
      </c>
      <c r="K2" s="11" t="s">
        <v>70</v>
      </c>
      <c r="L2" s="14">
        <f>M2/2.54</f>
        <v>3.3641732283464565</v>
      </c>
      <c r="M2" s="15">
        <v>8.5449999999999999</v>
      </c>
      <c r="N2" s="14">
        <v>0.80800000000000005</v>
      </c>
      <c r="O2" s="15">
        <v>10.16</v>
      </c>
      <c r="P2" s="16">
        <f t="shared" ref="P2:P10" si="2">4*E2/(PI()*(L2*0.0254)^2)</f>
        <v>0.55703351240703314</v>
      </c>
      <c r="Q2" s="24" t="s">
        <v>23</v>
      </c>
      <c r="R2" s="11">
        <v>1.52</v>
      </c>
      <c r="S2" s="11">
        <v>0</v>
      </c>
      <c r="T2" s="11">
        <f t="shared" ref="T2:T25" si="3">AF2*26*(M2/100)+AG2*100*(M2/100)+AH2*8.5*(M2/100)+AI2*37.5*(M2/100)+AJ2*60*(M2/100)+(M2/100)</f>
        <v>0.81177500000000002</v>
      </c>
      <c r="U2" s="11">
        <f t="shared" ref="U2:U25" si="4">R2+S2+T2</f>
        <v>2.3317749999999999</v>
      </c>
      <c r="V2" s="11">
        <f>1175.26</f>
        <v>1175.26</v>
      </c>
      <c r="W2" s="17">
        <v>1E-3</v>
      </c>
      <c r="X2" s="18">
        <v>25</v>
      </c>
      <c r="Y2" s="16">
        <f t="shared" ref="Y2:Y25" si="5">273.15+X2</f>
        <v>298.14999999999998</v>
      </c>
      <c r="Z2" s="16">
        <f t="shared" ref="Z2:Z7" si="6">C2*4/(3600*PI()*(M2/100)^2)</f>
        <v>598.81102583756058</v>
      </c>
      <c r="AA2" s="27">
        <f t="shared" ref="AA2:AA25" si="7">V2*P2*(M2/100)/W2</f>
        <v>55940.629134882794</v>
      </c>
      <c r="AB2" s="19">
        <v>6.0000000000000001E-3</v>
      </c>
      <c r="AC2" s="19">
        <f t="shared" ref="AC2:AC25" si="8">AB2/M2</f>
        <v>7.0216500877706266E-4</v>
      </c>
      <c r="AD2" s="20">
        <v>5.1999999999999998E-3</v>
      </c>
      <c r="AE2" s="24" t="s">
        <v>23</v>
      </c>
      <c r="AF2" s="21">
        <v>0</v>
      </c>
      <c r="AG2" s="21">
        <v>0</v>
      </c>
      <c r="AH2" s="11">
        <v>1</v>
      </c>
      <c r="AI2" s="11">
        <v>0</v>
      </c>
      <c r="AJ2" s="11">
        <v>0</v>
      </c>
      <c r="AK2" s="1">
        <f>(2*AD2*U2*(P2^2))/((M2/100)*9.81)</f>
        <v>8.9763867250350383E-3</v>
      </c>
      <c r="AL2" s="7"/>
    </row>
    <row r="3" spans="1:38" ht="15">
      <c r="A3" s="24" t="s">
        <v>24</v>
      </c>
      <c r="B3" s="12" t="s">
        <v>22</v>
      </c>
      <c r="C3" s="13">
        <f>D3*1075</f>
        <v>12362.5</v>
      </c>
      <c r="D3" s="22">
        <v>11.5</v>
      </c>
      <c r="E3" s="11">
        <f>D3/(3600)</f>
        <v>3.1944444444444446E-3</v>
      </c>
      <c r="F3" s="11">
        <v>0.6</v>
      </c>
      <c r="G3" s="14">
        <f t="shared" si="0"/>
        <v>8.233359976467905E-2</v>
      </c>
      <c r="H3" s="14">
        <f t="shared" ref="H3:H25" si="9">G3*100</f>
        <v>8.2333599764679057</v>
      </c>
      <c r="I3" s="14">
        <f t="shared" si="1"/>
        <v>3.2414803056960255</v>
      </c>
      <c r="J3" s="25">
        <v>3.5</v>
      </c>
      <c r="K3" s="11" t="s">
        <v>46</v>
      </c>
      <c r="L3" s="14">
        <f t="shared" ref="L3:L25" si="10">M3/2.54</f>
        <v>3.3641732283464565</v>
      </c>
      <c r="M3" s="15">
        <v>8.5449999999999999</v>
      </c>
      <c r="N3" s="14">
        <v>0.80800000000000005</v>
      </c>
      <c r="O3" s="15">
        <v>10.16</v>
      </c>
      <c r="P3" s="16">
        <f t="shared" si="2"/>
        <v>0.55703351240703314</v>
      </c>
      <c r="Q3" s="24" t="s">
        <v>24</v>
      </c>
      <c r="R3" s="11">
        <f>4.63+10.95+7.03+9.16+1.53</f>
        <v>33.299999999999997</v>
      </c>
      <c r="S3" s="11">
        <v>6</v>
      </c>
      <c r="T3" s="11">
        <f t="shared" si="3"/>
        <v>54.431649999999998</v>
      </c>
      <c r="U3" s="11">
        <f t="shared" si="4"/>
        <v>93.731650000000002</v>
      </c>
      <c r="V3" s="11">
        <f t="shared" ref="V3:V25" si="11">1175.26</f>
        <v>1175.26</v>
      </c>
      <c r="W3" s="17">
        <v>1E-3</v>
      </c>
      <c r="X3" s="18">
        <v>25</v>
      </c>
      <c r="Y3" s="16">
        <f t="shared" si="5"/>
        <v>298.14999999999998</v>
      </c>
      <c r="Z3" s="16">
        <f t="shared" si="6"/>
        <v>598.81102583756058</v>
      </c>
      <c r="AA3" s="27">
        <f t="shared" si="7"/>
        <v>55940.629134882794</v>
      </c>
      <c r="AB3" s="19">
        <v>6.0000000000000001E-3</v>
      </c>
      <c r="AC3" s="19">
        <f t="shared" si="8"/>
        <v>7.0216500877706266E-4</v>
      </c>
      <c r="AD3" s="20">
        <v>5.1999999999999998E-3</v>
      </c>
      <c r="AE3" s="24" t="s">
        <v>24</v>
      </c>
      <c r="AF3" s="21">
        <v>1</v>
      </c>
      <c r="AG3" s="21">
        <v>1</v>
      </c>
      <c r="AH3" s="11">
        <v>0</v>
      </c>
      <c r="AI3" s="11">
        <v>4</v>
      </c>
      <c r="AJ3" s="11">
        <v>6</v>
      </c>
      <c r="AK3" s="1">
        <f>(2*AD3*U3*(P3^2))/((M3/100)*9.81)</f>
        <v>0.36082878441343202</v>
      </c>
      <c r="AL3" s="2"/>
    </row>
    <row r="4" spans="1:38" ht="15">
      <c r="A4" s="24" t="s">
        <v>25</v>
      </c>
      <c r="B4" s="12" t="s">
        <v>22</v>
      </c>
      <c r="C4" s="13">
        <f>260.764</f>
        <v>260.76400000000001</v>
      </c>
      <c r="D4" s="22">
        <v>0.24299999999999999</v>
      </c>
      <c r="E4" s="11">
        <f>D4/(3600)</f>
        <v>6.7500000000000001E-5</v>
      </c>
      <c r="F4" s="11">
        <v>0.3</v>
      </c>
      <c r="G4" s="14">
        <f t="shared" si="0"/>
        <v>1.6925687506432689E-2</v>
      </c>
      <c r="H4" s="14">
        <f t="shared" si="9"/>
        <v>1.6925687506432689</v>
      </c>
      <c r="I4" s="14">
        <f t="shared" si="1"/>
        <v>0.66636564985955471</v>
      </c>
      <c r="J4" s="25">
        <v>0.75</v>
      </c>
      <c r="K4" s="11" t="s">
        <v>46</v>
      </c>
      <c r="L4" s="14">
        <f t="shared" si="10"/>
        <v>0.74212598425196852</v>
      </c>
      <c r="M4" s="15">
        <v>1.885</v>
      </c>
      <c r="N4" s="14">
        <v>0.39100000000000001</v>
      </c>
      <c r="O4" s="15">
        <v>2.6669999999999998</v>
      </c>
      <c r="P4" s="16">
        <f t="shared" si="2"/>
        <v>0.24187511139774007</v>
      </c>
      <c r="Q4" s="24" t="s">
        <v>25</v>
      </c>
      <c r="R4" s="11">
        <f>1.71+9.73+5.23</f>
        <v>16.670000000000002</v>
      </c>
      <c r="S4" s="11">
        <v>0</v>
      </c>
      <c r="T4" s="11">
        <f t="shared" si="3"/>
        <v>5.4759249999999993</v>
      </c>
      <c r="U4" s="11">
        <f t="shared" si="4"/>
        <v>22.145925000000002</v>
      </c>
      <c r="V4" s="11">
        <f t="shared" si="11"/>
        <v>1175.26</v>
      </c>
      <c r="W4" s="17">
        <v>1E-3</v>
      </c>
      <c r="X4" s="18">
        <v>25</v>
      </c>
      <c r="Y4" s="16">
        <f t="shared" si="5"/>
        <v>298.14999999999998</v>
      </c>
      <c r="Z4" s="16">
        <f t="shared" si="6"/>
        <v>259.55687880049504</v>
      </c>
      <c r="AA4" s="27">
        <f t="shared" si="7"/>
        <v>5358.4168034916556</v>
      </c>
      <c r="AB4" s="19">
        <v>6.0000000000000001E-3</v>
      </c>
      <c r="AC4" s="19">
        <f t="shared" si="8"/>
        <v>3.183023872679045E-3</v>
      </c>
      <c r="AD4" s="20">
        <v>9.4999999999999998E-3</v>
      </c>
      <c r="AE4" s="24" t="s">
        <v>25</v>
      </c>
      <c r="AF4" s="21">
        <v>1</v>
      </c>
      <c r="AG4" s="21">
        <v>0</v>
      </c>
      <c r="AH4" s="11">
        <v>1</v>
      </c>
      <c r="AI4" s="11">
        <v>2</v>
      </c>
      <c r="AJ4" s="11">
        <v>3</v>
      </c>
      <c r="AK4" s="1">
        <f t="shared" ref="AK4:AK25" si="12">(2*AD4*U4*P4^2)/((M4/100)*9.81)</f>
        <v>0.1331218758045197</v>
      </c>
      <c r="AL4" s="2"/>
    </row>
    <row r="5" spans="1:38" ht="15">
      <c r="A5" s="24" t="s">
        <v>26</v>
      </c>
      <c r="B5" s="12" t="s">
        <v>22</v>
      </c>
      <c r="C5" s="13">
        <f>D5*1049</f>
        <v>12063.5</v>
      </c>
      <c r="D5" s="22">
        <v>11.5</v>
      </c>
      <c r="E5" s="11">
        <f t="shared" ref="E5:E25" si="13">D5/(3600)</f>
        <v>3.1944444444444446E-3</v>
      </c>
      <c r="F5" s="11">
        <v>0.6</v>
      </c>
      <c r="G5" s="14">
        <f t="shared" si="0"/>
        <v>8.233359976467905E-2</v>
      </c>
      <c r="H5" s="14">
        <f t="shared" si="9"/>
        <v>8.2333599764679057</v>
      </c>
      <c r="I5" s="14">
        <f t="shared" si="1"/>
        <v>3.2414803056960255</v>
      </c>
      <c r="J5" s="25">
        <v>3.5</v>
      </c>
      <c r="K5" s="11" t="s">
        <v>46</v>
      </c>
      <c r="L5" s="14">
        <f t="shared" si="10"/>
        <v>3.3641732283464565</v>
      </c>
      <c r="M5" s="15">
        <v>8.5449999999999999</v>
      </c>
      <c r="N5" s="14">
        <v>0.80800000000000005</v>
      </c>
      <c r="O5" s="15">
        <v>10.16</v>
      </c>
      <c r="P5" s="16">
        <f t="shared" si="2"/>
        <v>0.55703351240703314</v>
      </c>
      <c r="Q5" s="24" t="s">
        <v>26</v>
      </c>
      <c r="R5" s="11">
        <v>10.23</v>
      </c>
      <c r="S5" s="11">
        <v>0</v>
      </c>
      <c r="T5" s="11">
        <f t="shared" si="3"/>
        <v>6.2378499999999999</v>
      </c>
      <c r="U5" s="11">
        <f t="shared" si="4"/>
        <v>16.467849999999999</v>
      </c>
      <c r="V5" s="11">
        <f t="shared" si="11"/>
        <v>1175.26</v>
      </c>
      <c r="W5" s="17">
        <v>1E-3</v>
      </c>
      <c r="X5" s="18">
        <v>25</v>
      </c>
      <c r="Y5" s="16">
        <f t="shared" si="5"/>
        <v>298.14999999999998</v>
      </c>
      <c r="Z5" s="16">
        <f t="shared" si="6"/>
        <v>584.32815451497777</v>
      </c>
      <c r="AA5" s="27">
        <f t="shared" si="7"/>
        <v>55940.629134882794</v>
      </c>
      <c r="AB5" s="19">
        <v>6.0000000000000001E-3</v>
      </c>
      <c r="AC5" s="19">
        <f t="shared" si="8"/>
        <v>7.0216500877706266E-4</v>
      </c>
      <c r="AD5" s="20">
        <v>5.1999999999999998E-3</v>
      </c>
      <c r="AE5" s="24" t="s">
        <v>26</v>
      </c>
      <c r="AF5" s="21">
        <v>1</v>
      </c>
      <c r="AG5" s="21">
        <v>0</v>
      </c>
      <c r="AH5" s="11">
        <v>1</v>
      </c>
      <c r="AI5" s="11">
        <v>1</v>
      </c>
      <c r="AJ5" s="11">
        <v>0</v>
      </c>
      <c r="AK5" s="1">
        <f t="shared" si="12"/>
        <v>6.3394534262468827E-2</v>
      </c>
      <c r="AL5" s="2"/>
    </row>
    <row r="6" spans="1:38" ht="15">
      <c r="A6" s="24" t="s">
        <v>27</v>
      </c>
      <c r="B6" s="12" t="s">
        <v>22</v>
      </c>
      <c r="C6" s="13">
        <f>D6*1049</f>
        <v>12063.5</v>
      </c>
      <c r="D6" s="22">
        <v>11.5</v>
      </c>
      <c r="E6" s="11">
        <f t="shared" si="13"/>
        <v>3.1944444444444446E-3</v>
      </c>
      <c r="F6" s="11">
        <v>0.6</v>
      </c>
      <c r="G6" s="14">
        <f t="shared" si="0"/>
        <v>8.233359976467905E-2</v>
      </c>
      <c r="H6" s="14">
        <f t="shared" si="9"/>
        <v>8.2333599764679057</v>
      </c>
      <c r="I6" s="14">
        <f t="shared" si="1"/>
        <v>3.2414803056960255</v>
      </c>
      <c r="J6" s="25">
        <v>3.5</v>
      </c>
      <c r="K6" s="11" t="s">
        <v>46</v>
      </c>
      <c r="L6" s="14">
        <f t="shared" si="10"/>
        <v>3.3641732283464565</v>
      </c>
      <c r="M6" s="15">
        <v>8.5449999999999999</v>
      </c>
      <c r="N6" s="14">
        <v>0.80800000000000005</v>
      </c>
      <c r="O6" s="15">
        <v>10.16</v>
      </c>
      <c r="P6" s="16">
        <f t="shared" si="2"/>
        <v>0.55703351240703314</v>
      </c>
      <c r="Q6" s="24" t="s">
        <v>27</v>
      </c>
      <c r="R6" s="11">
        <v>1.65</v>
      </c>
      <c r="S6" s="11">
        <v>0</v>
      </c>
      <c r="T6" s="11">
        <f t="shared" si="3"/>
        <v>8.6304499999999997</v>
      </c>
      <c r="U6" s="11">
        <f t="shared" si="4"/>
        <v>10.28045</v>
      </c>
      <c r="V6" s="11">
        <f t="shared" si="11"/>
        <v>1175.26</v>
      </c>
      <c r="W6" s="17">
        <v>1E-3</v>
      </c>
      <c r="X6" s="18">
        <v>25</v>
      </c>
      <c r="Y6" s="16">
        <f t="shared" si="5"/>
        <v>298.14999999999998</v>
      </c>
      <c r="Z6" s="16">
        <f t="shared" si="6"/>
        <v>584.32815451497777</v>
      </c>
      <c r="AA6" s="27">
        <f t="shared" si="7"/>
        <v>55940.629134882794</v>
      </c>
      <c r="AB6" s="19">
        <v>6.0000000000000001E-3</v>
      </c>
      <c r="AC6" s="19">
        <f t="shared" si="8"/>
        <v>7.0216500877706266E-4</v>
      </c>
      <c r="AD6" s="20">
        <v>5.1999999999999998E-3</v>
      </c>
      <c r="AE6" s="24" t="s">
        <v>27</v>
      </c>
      <c r="AF6" s="21">
        <v>0</v>
      </c>
      <c r="AG6" s="21">
        <v>1</v>
      </c>
      <c r="AH6" s="11">
        <v>0</v>
      </c>
      <c r="AI6" s="11">
        <v>0</v>
      </c>
      <c r="AJ6" s="11">
        <v>0</v>
      </c>
      <c r="AK6" s="1">
        <f t="shared" si="12"/>
        <v>3.9575557207443456E-2</v>
      </c>
      <c r="AL6" s="2"/>
    </row>
    <row r="7" spans="1:38" ht="15">
      <c r="A7" s="24" t="s">
        <v>28</v>
      </c>
      <c r="B7" s="12" t="s">
        <v>22</v>
      </c>
      <c r="C7" s="13">
        <v>260.76400000000001</v>
      </c>
      <c r="D7" s="22">
        <v>0.24299999999999999</v>
      </c>
      <c r="E7" s="11">
        <f t="shared" si="13"/>
        <v>6.7500000000000001E-5</v>
      </c>
      <c r="F7" s="11">
        <v>0.3</v>
      </c>
      <c r="G7" s="14">
        <f t="shared" si="0"/>
        <v>1.6925687506432689E-2</v>
      </c>
      <c r="H7" s="14">
        <f t="shared" si="9"/>
        <v>1.6925687506432689</v>
      </c>
      <c r="I7" s="14">
        <f t="shared" si="1"/>
        <v>0.66636564985955471</v>
      </c>
      <c r="J7" s="25">
        <v>0.75</v>
      </c>
      <c r="K7" s="11" t="s">
        <v>46</v>
      </c>
      <c r="L7" s="14">
        <f t="shared" si="10"/>
        <v>0.74212598425196852</v>
      </c>
      <c r="M7" s="15">
        <v>1.885</v>
      </c>
      <c r="N7" s="14">
        <v>0.39100000000000001</v>
      </c>
      <c r="O7" s="15">
        <v>2.6669999999999998</v>
      </c>
      <c r="P7" s="16">
        <f t="shared" si="2"/>
        <v>0.24187511139774007</v>
      </c>
      <c r="Q7" s="24" t="s">
        <v>28</v>
      </c>
      <c r="R7" s="11">
        <f>5.3+4.87+14.7+2.18</f>
        <v>27.049999999999997</v>
      </c>
      <c r="S7" s="11">
        <v>2.66</v>
      </c>
      <c r="T7" s="11">
        <f t="shared" si="3"/>
        <v>5.9283249999999992</v>
      </c>
      <c r="U7" s="11">
        <f t="shared" si="4"/>
        <v>35.638324999999995</v>
      </c>
      <c r="V7" s="11">
        <f t="shared" si="11"/>
        <v>1175.26</v>
      </c>
      <c r="W7" s="17">
        <v>1E-3</v>
      </c>
      <c r="X7" s="18">
        <v>25</v>
      </c>
      <c r="Y7" s="16">
        <f t="shared" si="5"/>
        <v>298.14999999999998</v>
      </c>
      <c r="Z7" s="16">
        <f t="shared" si="6"/>
        <v>259.55687880049504</v>
      </c>
      <c r="AA7" s="27">
        <f t="shared" si="7"/>
        <v>5358.4168034916556</v>
      </c>
      <c r="AB7" s="19">
        <v>6.0000000000000001E-3</v>
      </c>
      <c r="AC7" s="19">
        <f t="shared" si="8"/>
        <v>3.183023872679045E-3</v>
      </c>
      <c r="AD7" s="20">
        <v>9.4999999999999998E-3</v>
      </c>
      <c r="AE7" s="24" t="s">
        <v>28</v>
      </c>
      <c r="AF7" s="21">
        <v>1</v>
      </c>
      <c r="AG7" s="21">
        <v>1</v>
      </c>
      <c r="AH7" s="11">
        <v>0</v>
      </c>
      <c r="AI7" s="11">
        <v>5</v>
      </c>
      <c r="AJ7" s="11"/>
      <c r="AK7" s="1">
        <f t="shared" si="12"/>
        <v>0.2142263497474641</v>
      </c>
      <c r="AL7" s="2"/>
    </row>
    <row r="8" spans="1:38" ht="15">
      <c r="A8" s="24" t="s">
        <v>29</v>
      </c>
      <c r="B8" s="12" t="s">
        <v>22</v>
      </c>
      <c r="C8" s="13">
        <v>184.57599999999999</v>
      </c>
      <c r="D8" s="22">
        <v>0.152</v>
      </c>
      <c r="E8" s="11">
        <f t="shared" si="13"/>
        <v>4.2222222222222222E-5</v>
      </c>
      <c r="F8" s="11">
        <v>0.3</v>
      </c>
      <c r="G8" s="14">
        <f t="shared" si="0"/>
        <v>1.3386436294489669E-2</v>
      </c>
      <c r="H8" s="14">
        <f t="shared" si="9"/>
        <v>1.3386436294489668</v>
      </c>
      <c r="I8" s="14">
        <f t="shared" si="1"/>
        <v>0.52702505096416019</v>
      </c>
      <c r="J8" s="25">
        <v>0.5</v>
      </c>
      <c r="K8" s="11" t="s">
        <v>46</v>
      </c>
      <c r="L8" s="14">
        <f t="shared" si="10"/>
        <v>0.5460629921259843</v>
      </c>
      <c r="M8" s="15">
        <v>1.387</v>
      </c>
      <c r="N8" s="14">
        <v>0.373</v>
      </c>
      <c r="O8" s="15">
        <v>2.1339999999999999</v>
      </c>
      <c r="P8" s="16">
        <f t="shared" si="2"/>
        <v>0.27944624848372696</v>
      </c>
      <c r="Q8" s="24" t="s">
        <v>29</v>
      </c>
      <c r="R8" s="11">
        <f>2.59+17.3+1.16</f>
        <v>21.05</v>
      </c>
      <c r="S8" s="11">
        <f>2.8+2.66</f>
        <v>5.46</v>
      </c>
      <c r="T8" s="11">
        <f t="shared" si="3"/>
        <v>3.3357349999999997</v>
      </c>
      <c r="U8" s="11">
        <f t="shared" si="4"/>
        <v>29.845735000000001</v>
      </c>
      <c r="V8" s="11">
        <f t="shared" si="11"/>
        <v>1175.26</v>
      </c>
      <c r="W8" s="17">
        <v>1E-3</v>
      </c>
      <c r="X8" s="18">
        <v>140</v>
      </c>
      <c r="Y8" s="16">
        <f t="shared" si="5"/>
        <v>413.15</v>
      </c>
      <c r="Z8" s="16">
        <f t="shared" ref="Z8:Z25" si="14">C8*4/(3600*PI()*(M8/100)^2)</f>
        <v>339.33599184297623</v>
      </c>
      <c r="AA8" s="27">
        <f t="shared" si="7"/>
        <v>4555.2131121627008</v>
      </c>
      <c r="AB8" s="19">
        <v>6.0000000000000001E-3</v>
      </c>
      <c r="AC8" s="19">
        <f t="shared" si="8"/>
        <v>4.3258832011535686E-3</v>
      </c>
      <c r="AD8" s="20">
        <v>0.01</v>
      </c>
      <c r="AE8" s="24" t="s">
        <v>29</v>
      </c>
      <c r="AF8" s="21">
        <v>2</v>
      </c>
      <c r="AG8" s="21"/>
      <c r="AH8" s="11">
        <v>0</v>
      </c>
      <c r="AI8" s="11">
        <v>5</v>
      </c>
      <c r="AJ8" s="11"/>
      <c r="AK8" s="1">
        <f t="shared" si="12"/>
        <v>0.34258107917077979</v>
      </c>
      <c r="AL8" s="2"/>
    </row>
    <row r="9" spans="1:38" ht="15">
      <c r="A9" s="24" t="s">
        <v>30</v>
      </c>
      <c r="B9" s="12" t="s">
        <v>22</v>
      </c>
      <c r="C9" s="13">
        <v>544.95000000000005</v>
      </c>
      <c r="D9" s="22">
        <v>0.48599999999999999</v>
      </c>
      <c r="E9" s="11">
        <f t="shared" si="13"/>
        <v>1.35E-4</v>
      </c>
      <c r="F9" s="11">
        <v>0.3</v>
      </c>
      <c r="G9" s="14">
        <f t="shared" si="0"/>
        <v>2.3936536824085961E-2</v>
      </c>
      <c r="H9" s="14">
        <f t="shared" si="9"/>
        <v>2.3936536824085959</v>
      </c>
      <c r="I9" s="14">
        <f t="shared" si="1"/>
        <v>0.94238333953094333</v>
      </c>
      <c r="J9" s="25">
        <v>1</v>
      </c>
      <c r="K9" s="11" t="s">
        <v>46</v>
      </c>
      <c r="L9" s="14">
        <f t="shared" si="10"/>
        <v>0.95708661417322838</v>
      </c>
      <c r="M9" s="15">
        <v>2.431</v>
      </c>
      <c r="N9" s="14">
        <v>0.45500000000000002</v>
      </c>
      <c r="O9" s="15">
        <v>3.34</v>
      </c>
      <c r="P9" s="16">
        <f t="shared" si="2"/>
        <v>0.29085328245803338</v>
      </c>
      <c r="Q9" s="24" t="s">
        <v>30</v>
      </c>
      <c r="R9" s="11">
        <f>11.38+3.73+5.33</f>
        <v>20.440000000000001</v>
      </c>
      <c r="S9" s="11">
        <v>7</v>
      </c>
      <c r="T9" s="11">
        <f t="shared" si="3"/>
        <v>6.7338699999999996</v>
      </c>
      <c r="U9" s="11">
        <f t="shared" si="4"/>
        <v>34.173870000000001</v>
      </c>
      <c r="V9" s="11">
        <f t="shared" si="11"/>
        <v>1175.26</v>
      </c>
      <c r="W9" s="17">
        <v>1E-3</v>
      </c>
      <c r="X9" s="18">
        <v>15</v>
      </c>
      <c r="Y9" s="11">
        <f t="shared" si="5"/>
        <v>288.14999999999998</v>
      </c>
      <c r="Z9" s="16">
        <f t="shared" si="14"/>
        <v>326.13270838581332</v>
      </c>
      <c r="AA9" s="27">
        <f t="shared" si="7"/>
        <v>8309.8442407089842</v>
      </c>
      <c r="AB9" s="19">
        <v>6.0000000000000001E-3</v>
      </c>
      <c r="AC9" s="19">
        <f t="shared" si="8"/>
        <v>2.4681201151789387E-3</v>
      </c>
      <c r="AD9" s="20">
        <v>8.8999999999999999E-3</v>
      </c>
      <c r="AE9" s="24" t="s">
        <v>30</v>
      </c>
      <c r="AF9" s="21">
        <v>1</v>
      </c>
      <c r="AG9" s="21">
        <v>1</v>
      </c>
      <c r="AH9" s="11"/>
      <c r="AI9" s="11">
        <v>4</v>
      </c>
      <c r="AJ9" s="11"/>
      <c r="AK9" s="1">
        <f t="shared" si="12"/>
        <v>0.21577848421872337</v>
      </c>
      <c r="AL9" s="2"/>
    </row>
    <row r="10" spans="1:38" ht="15">
      <c r="A10" s="24" t="s">
        <v>31</v>
      </c>
      <c r="B10" s="12" t="s">
        <v>22</v>
      </c>
      <c r="C10" s="13">
        <v>393.89</v>
      </c>
      <c r="D10" s="22">
        <v>0.34300000000000003</v>
      </c>
      <c r="E10" s="11">
        <f t="shared" si="13"/>
        <v>9.5277777777777787E-5</v>
      </c>
      <c r="F10" s="11">
        <v>0.3</v>
      </c>
      <c r="G10" s="14">
        <f t="shared" si="0"/>
        <v>2.0108989233769376E-2</v>
      </c>
      <c r="H10" s="14">
        <f t="shared" si="9"/>
        <v>2.0108989233769377</v>
      </c>
      <c r="I10" s="14">
        <f t="shared" si="1"/>
        <v>0.79169248951847937</v>
      </c>
      <c r="J10" s="25">
        <v>0.75</v>
      </c>
      <c r="K10" s="11" t="s">
        <v>48</v>
      </c>
      <c r="L10" s="14">
        <f t="shared" si="10"/>
        <v>0.82401574803149602</v>
      </c>
      <c r="M10" s="15">
        <v>2.093</v>
      </c>
      <c r="N10" s="14">
        <v>0.28699999999999998</v>
      </c>
      <c r="O10" s="15">
        <v>2.6669999999999998</v>
      </c>
      <c r="P10" s="16">
        <f t="shared" si="2"/>
        <v>0.27692571215168305</v>
      </c>
      <c r="Q10" s="24" t="s">
        <v>31</v>
      </c>
      <c r="R10" s="11">
        <f>3.82</f>
        <v>3.82</v>
      </c>
      <c r="S10" s="11">
        <v>1</v>
      </c>
      <c r="T10" s="11">
        <f t="shared" si="3"/>
        <v>1.5278899999999997</v>
      </c>
      <c r="U10" s="11">
        <f t="shared" si="4"/>
        <v>6.3478899999999996</v>
      </c>
      <c r="V10" s="11">
        <f t="shared" si="11"/>
        <v>1175.26</v>
      </c>
      <c r="W10" s="17">
        <v>1E-3</v>
      </c>
      <c r="X10" s="18">
        <v>118</v>
      </c>
      <c r="Y10" s="11">
        <f t="shared" si="5"/>
        <v>391.15</v>
      </c>
      <c r="Z10" s="16">
        <f t="shared" si="14"/>
        <v>318.01244536275919</v>
      </c>
      <c r="AA10" s="27">
        <f t="shared" si="7"/>
        <v>6811.8717818586902</v>
      </c>
      <c r="AB10" s="19">
        <v>6.0000000000000001E-3</v>
      </c>
      <c r="AC10" s="19">
        <f t="shared" si="8"/>
        <v>2.866698518872432E-3</v>
      </c>
      <c r="AD10" s="20">
        <v>9.1999999999999998E-3</v>
      </c>
      <c r="AE10" s="24" t="s">
        <v>31</v>
      </c>
      <c r="AF10" s="21">
        <v>1</v>
      </c>
      <c r="AG10" s="21"/>
      <c r="AH10" s="11">
        <v>1</v>
      </c>
      <c r="AI10" s="11">
        <v>1</v>
      </c>
      <c r="AJ10" s="11"/>
      <c r="AK10" s="1">
        <f t="shared" si="12"/>
        <v>4.3625010268368875E-2</v>
      </c>
      <c r="AL10" s="2"/>
    </row>
    <row r="11" spans="1:38" ht="15">
      <c r="A11" s="24" t="s">
        <v>32</v>
      </c>
      <c r="B11" s="12" t="s">
        <v>22</v>
      </c>
      <c r="C11" s="23">
        <v>393.89</v>
      </c>
      <c r="D11" s="22">
        <v>0.34300000000000003</v>
      </c>
      <c r="E11" s="11">
        <f t="shared" si="13"/>
        <v>9.5277777777777787E-5</v>
      </c>
      <c r="F11" s="11">
        <v>0.3</v>
      </c>
      <c r="G11" s="14">
        <f t="shared" si="0"/>
        <v>2.0108989233769376E-2</v>
      </c>
      <c r="H11" s="14">
        <f t="shared" si="9"/>
        <v>2.0108989233769377</v>
      </c>
      <c r="I11" s="14">
        <f t="shared" si="1"/>
        <v>0.79169248951847937</v>
      </c>
      <c r="J11" s="8">
        <v>0.75</v>
      </c>
      <c r="K11" s="11" t="s">
        <v>46</v>
      </c>
      <c r="L11" s="14">
        <f t="shared" si="10"/>
        <v>0.82401574803149602</v>
      </c>
      <c r="M11" s="4">
        <v>2.093</v>
      </c>
      <c r="N11" s="1">
        <v>0.28699999999999998</v>
      </c>
      <c r="O11" s="4">
        <v>2.6669999999999998</v>
      </c>
      <c r="P11" s="16">
        <f t="shared" ref="P11:P25" si="15">4*E11/(PI()*(L11*0.0254)^2)</f>
        <v>0.27692571215168305</v>
      </c>
      <c r="Q11" s="24" t="s">
        <v>32</v>
      </c>
      <c r="R11" s="1">
        <f>6.7+10.52+1</f>
        <v>18.22</v>
      </c>
      <c r="S11" s="1">
        <v>2.66</v>
      </c>
      <c r="T11" s="11">
        <f t="shared" si="3"/>
        <v>6.5824850000000001</v>
      </c>
      <c r="U11" s="11">
        <f t="shared" si="4"/>
        <v>27.462485000000001</v>
      </c>
      <c r="V11" s="11">
        <f t="shared" si="11"/>
        <v>1175.26</v>
      </c>
      <c r="W11" s="17">
        <v>1E-3</v>
      </c>
      <c r="X11" s="18">
        <v>118</v>
      </c>
      <c r="Y11" s="11">
        <f t="shared" si="5"/>
        <v>391.15</v>
      </c>
      <c r="Z11" s="16">
        <f t="shared" si="14"/>
        <v>318.01244536275919</v>
      </c>
      <c r="AA11" s="27">
        <f t="shared" si="7"/>
        <v>6811.8717818586902</v>
      </c>
      <c r="AB11" s="19">
        <v>6.0000000000000001E-3</v>
      </c>
      <c r="AC11" s="19">
        <f t="shared" si="8"/>
        <v>2.866698518872432E-3</v>
      </c>
      <c r="AD11" s="1">
        <v>9.1999999999999998E-3</v>
      </c>
      <c r="AE11" s="24" t="s">
        <v>32</v>
      </c>
      <c r="AF11" s="1">
        <v>1</v>
      </c>
      <c r="AG11" s="1">
        <v>1</v>
      </c>
      <c r="AH11" s="1"/>
      <c r="AI11" s="1">
        <v>5</v>
      </c>
      <c r="AJ11" s="1"/>
      <c r="AK11" s="1">
        <f t="shared" si="12"/>
        <v>0.18873219134545907</v>
      </c>
      <c r="AL11" s="2"/>
    </row>
    <row r="12" spans="1:38" ht="15">
      <c r="A12" s="24" t="s">
        <v>33</v>
      </c>
      <c r="B12" s="12" t="s">
        <v>22</v>
      </c>
      <c r="C12" s="23">
        <v>151.06</v>
      </c>
      <c r="D12" s="22">
        <v>0.14399999999999999</v>
      </c>
      <c r="E12" s="11">
        <f t="shared" si="13"/>
        <v>3.9999999999999996E-5</v>
      </c>
      <c r="F12" s="11">
        <v>0.3</v>
      </c>
      <c r="G12" s="14">
        <f t="shared" si="0"/>
        <v>1.3029400317411198E-2</v>
      </c>
      <c r="H12" s="14">
        <f t="shared" si="9"/>
        <v>1.3029400317411197</v>
      </c>
      <c r="I12" s="14">
        <f t="shared" si="1"/>
        <v>0.51296851643351171</v>
      </c>
      <c r="J12" s="8">
        <v>0.5</v>
      </c>
      <c r="K12" s="11" t="s">
        <v>46</v>
      </c>
      <c r="L12" s="14">
        <f t="shared" si="10"/>
        <v>0.5460629921259843</v>
      </c>
      <c r="M12" s="4">
        <v>1.387</v>
      </c>
      <c r="N12" s="1">
        <v>0.373</v>
      </c>
      <c r="O12" s="4">
        <v>2.1339999999999999</v>
      </c>
      <c r="P12" s="16">
        <f t="shared" si="15"/>
        <v>0.26473855119510975</v>
      </c>
      <c r="Q12" s="24" t="s">
        <v>33</v>
      </c>
      <c r="R12" s="1">
        <v>9.74</v>
      </c>
      <c r="S12" s="1">
        <f>9-5.7</f>
        <v>3.3</v>
      </c>
      <c r="T12" s="11">
        <f t="shared" si="3"/>
        <v>1.7753600000000003</v>
      </c>
      <c r="U12" s="11">
        <f t="shared" si="4"/>
        <v>14.81536</v>
      </c>
      <c r="V12" s="11">
        <f t="shared" si="11"/>
        <v>1175.26</v>
      </c>
      <c r="W12" s="17">
        <v>1E-3</v>
      </c>
      <c r="X12" s="18">
        <v>118</v>
      </c>
      <c r="Y12" s="11">
        <f t="shared" si="5"/>
        <v>391.15</v>
      </c>
      <c r="Z12" s="16">
        <f t="shared" si="14"/>
        <v>277.71809405231443</v>
      </c>
      <c r="AA12" s="27">
        <f t="shared" si="7"/>
        <v>4315.4650536278214</v>
      </c>
      <c r="AB12" s="19">
        <v>6.0000000000000001E-3</v>
      </c>
      <c r="AC12" s="19">
        <f t="shared" si="8"/>
        <v>4.3258832011535686E-3</v>
      </c>
      <c r="AD12" s="1">
        <v>1.0999999999999999E-2</v>
      </c>
      <c r="AE12" s="24" t="s">
        <v>33</v>
      </c>
      <c r="AF12" s="1">
        <v>2</v>
      </c>
      <c r="AG12" s="1"/>
      <c r="AH12" s="1">
        <v>0</v>
      </c>
      <c r="AI12" s="1">
        <v>2</v>
      </c>
      <c r="AJ12" s="1"/>
      <c r="AK12" s="1">
        <f t="shared" si="12"/>
        <v>0.16788960097237857</v>
      </c>
      <c r="AL12" s="2"/>
    </row>
    <row r="13" spans="1:38" ht="15">
      <c r="A13" s="24" t="s">
        <v>34</v>
      </c>
      <c r="B13" s="12" t="s">
        <v>22</v>
      </c>
      <c r="C13" s="23">
        <v>839.23</v>
      </c>
      <c r="D13" s="22">
        <v>0.72399999999999998</v>
      </c>
      <c r="E13" s="11">
        <f t="shared" si="13"/>
        <v>2.0111111111111111E-4</v>
      </c>
      <c r="F13" s="11">
        <v>0.3</v>
      </c>
      <c r="G13" s="14">
        <f t="shared" si="0"/>
        <v>2.9215442238212187E-2</v>
      </c>
      <c r="H13" s="14">
        <f t="shared" si="9"/>
        <v>2.9215442238212188</v>
      </c>
      <c r="I13" s="14">
        <f t="shared" si="1"/>
        <v>1.1502142613469366</v>
      </c>
      <c r="J13" s="8">
        <v>1.25</v>
      </c>
      <c r="K13" s="11" t="s">
        <v>46</v>
      </c>
      <c r="L13" s="14">
        <f t="shared" si="10"/>
        <v>1.2779527559055117</v>
      </c>
      <c r="M13" s="1">
        <v>3.246</v>
      </c>
      <c r="N13" s="1">
        <v>0.48499999999999999</v>
      </c>
      <c r="O13" s="1">
        <v>4.1260000000000003</v>
      </c>
      <c r="P13" s="16">
        <f t="shared" si="15"/>
        <v>0.24302399346453224</v>
      </c>
      <c r="Q13" s="24" t="s">
        <v>34</v>
      </c>
      <c r="R13" s="1">
        <v>6.18</v>
      </c>
      <c r="S13" s="1">
        <f>1.55+2.33</f>
        <v>3.88</v>
      </c>
      <c r="T13" s="11">
        <f t="shared" si="3"/>
        <v>6.5893800000000011</v>
      </c>
      <c r="U13" s="11">
        <f t="shared" si="4"/>
        <v>16.649380000000001</v>
      </c>
      <c r="V13" s="11">
        <f t="shared" si="11"/>
        <v>1175.26</v>
      </c>
      <c r="W13" s="17">
        <v>1E-3</v>
      </c>
      <c r="X13" s="18">
        <v>130</v>
      </c>
      <c r="Y13" s="11">
        <f t="shared" si="5"/>
        <v>403.15</v>
      </c>
      <c r="Z13" s="16">
        <f t="shared" si="14"/>
        <v>281.70307463430839</v>
      </c>
      <c r="AA13" s="27">
        <f t="shared" si="7"/>
        <v>9271.107648029234</v>
      </c>
      <c r="AB13" s="19">
        <v>6.0000000000000001E-3</v>
      </c>
      <c r="AC13" s="19">
        <f t="shared" si="8"/>
        <v>1.8484288354898336E-3</v>
      </c>
      <c r="AD13" s="1">
        <v>8.5000000000000006E-3</v>
      </c>
      <c r="AE13" s="24" t="s">
        <v>34</v>
      </c>
      <c r="AF13" s="1">
        <v>2</v>
      </c>
      <c r="AG13" s="1"/>
      <c r="AH13" s="1">
        <v>0</v>
      </c>
      <c r="AI13" s="1">
        <v>4</v>
      </c>
      <c r="AJ13" s="1"/>
      <c r="AK13" s="1">
        <f t="shared" si="12"/>
        <v>5.249618823494482E-2</v>
      </c>
      <c r="AL13" s="2"/>
    </row>
    <row r="14" spans="1:38" ht="15">
      <c r="A14" s="24" t="s">
        <v>35</v>
      </c>
      <c r="B14" s="12" t="s">
        <v>22</v>
      </c>
      <c r="C14" s="23">
        <v>839.23</v>
      </c>
      <c r="D14" s="22">
        <v>0.71399999999999997</v>
      </c>
      <c r="E14" s="11">
        <f t="shared" si="13"/>
        <v>1.9833333333333332E-4</v>
      </c>
      <c r="F14" s="11">
        <v>0.3</v>
      </c>
      <c r="G14" s="14">
        <f t="shared" si="0"/>
        <v>2.9012976581703379E-2</v>
      </c>
      <c r="H14" s="14">
        <f t="shared" si="9"/>
        <v>2.9012976581703378</v>
      </c>
      <c r="I14" s="14">
        <f t="shared" si="1"/>
        <v>1.1422431725080071</v>
      </c>
      <c r="J14" s="8">
        <v>1.25</v>
      </c>
      <c r="K14" s="11" t="s">
        <v>46</v>
      </c>
      <c r="L14" s="14">
        <f t="shared" si="10"/>
        <v>1.2779527559055117</v>
      </c>
      <c r="M14" s="1">
        <v>3.246</v>
      </c>
      <c r="N14" s="1">
        <v>0.48499999999999999</v>
      </c>
      <c r="O14" s="1">
        <v>4.1260000000000003</v>
      </c>
      <c r="P14" s="16">
        <f t="shared" si="15"/>
        <v>0.23966730847192819</v>
      </c>
      <c r="Q14" s="24" t="s">
        <v>35</v>
      </c>
      <c r="R14" s="1">
        <v>5.84</v>
      </c>
      <c r="S14" s="1">
        <f>1+0.85</f>
        <v>1.85</v>
      </c>
      <c r="T14" s="11">
        <f t="shared" si="3"/>
        <v>6.5893800000000011</v>
      </c>
      <c r="U14" s="11">
        <f t="shared" si="4"/>
        <v>14.27938</v>
      </c>
      <c r="V14" s="11">
        <f t="shared" si="11"/>
        <v>1175.26</v>
      </c>
      <c r="W14" s="17">
        <v>1E-3</v>
      </c>
      <c r="X14" s="18">
        <v>130</v>
      </c>
      <c r="Y14" s="11">
        <f t="shared" si="5"/>
        <v>403.15</v>
      </c>
      <c r="Z14" s="16">
        <f t="shared" si="14"/>
        <v>281.70307463430839</v>
      </c>
      <c r="AA14" s="27">
        <f t="shared" si="7"/>
        <v>9143.0536749901567</v>
      </c>
      <c r="AB14" s="19">
        <v>6.0000000000000001E-3</v>
      </c>
      <c r="AC14" s="19">
        <f t="shared" si="8"/>
        <v>1.8484288354898336E-3</v>
      </c>
      <c r="AD14" s="5">
        <v>8.5000000000000006E-3</v>
      </c>
      <c r="AE14" s="24" t="s">
        <v>35</v>
      </c>
      <c r="AF14" s="6">
        <v>2</v>
      </c>
      <c r="AG14" s="6"/>
      <c r="AH14" s="1">
        <v>0</v>
      </c>
      <c r="AI14" s="1">
        <v>4</v>
      </c>
      <c r="AJ14" s="1"/>
      <c r="AK14" s="1">
        <f t="shared" si="12"/>
        <v>4.3788326426941443E-2</v>
      </c>
      <c r="AL14" s="2"/>
    </row>
    <row r="15" spans="1:38" ht="15">
      <c r="A15" s="24" t="s">
        <v>36</v>
      </c>
      <c r="B15" s="12" t="s">
        <v>22</v>
      </c>
      <c r="C15" s="23">
        <v>839.23</v>
      </c>
      <c r="D15" s="22">
        <v>0.71399999999999997</v>
      </c>
      <c r="E15" s="11">
        <f t="shared" si="13"/>
        <v>1.9833333333333332E-4</v>
      </c>
      <c r="F15" s="11">
        <v>0.3</v>
      </c>
      <c r="G15" s="14">
        <f t="shared" si="0"/>
        <v>2.9012976581703379E-2</v>
      </c>
      <c r="H15" s="14">
        <f t="shared" si="9"/>
        <v>2.9012976581703378</v>
      </c>
      <c r="I15" s="14">
        <f t="shared" si="1"/>
        <v>1.1422431725080071</v>
      </c>
      <c r="J15" s="8">
        <v>1.25</v>
      </c>
      <c r="K15" s="11" t="s">
        <v>46</v>
      </c>
      <c r="L15" s="14">
        <f t="shared" si="10"/>
        <v>1.2779527559055117</v>
      </c>
      <c r="M15" s="1">
        <v>3.246</v>
      </c>
      <c r="N15" s="1">
        <v>0.48499999999999999</v>
      </c>
      <c r="O15" s="1">
        <v>4.1260000000000003</v>
      </c>
      <c r="P15" s="16">
        <f t="shared" si="15"/>
        <v>0.23966730847192819</v>
      </c>
      <c r="Q15" s="24" t="s">
        <v>36</v>
      </c>
      <c r="R15" s="1">
        <v>7.27</v>
      </c>
      <c r="S15" s="1">
        <f>0.5+0.64</f>
        <v>1.1400000000000001</v>
      </c>
      <c r="T15" s="11">
        <f t="shared" si="3"/>
        <v>6.5893800000000011</v>
      </c>
      <c r="U15" s="11">
        <f t="shared" si="4"/>
        <v>14.999380000000002</v>
      </c>
      <c r="V15" s="11">
        <f t="shared" si="11"/>
        <v>1175.26</v>
      </c>
      <c r="W15" s="17">
        <v>1E-3</v>
      </c>
      <c r="X15" s="18">
        <v>70</v>
      </c>
      <c r="Y15" s="11">
        <f t="shared" si="5"/>
        <v>343.15</v>
      </c>
      <c r="Z15" s="16">
        <f t="shared" si="14"/>
        <v>281.70307463430839</v>
      </c>
      <c r="AA15" s="27">
        <f t="shared" si="7"/>
        <v>9143.0536749901567</v>
      </c>
      <c r="AB15" s="19">
        <v>6.0000000000000001E-3</v>
      </c>
      <c r="AC15" s="19">
        <f t="shared" si="8"/>
        <v>1.8484288354898336E-3</v>
      </c>
      <c r="AD15" s="5">
        <v>8.5000000000000006E-3</v>
      </c>
      <c r="AE15" s="24" t="s">
        <v>36</v>
      </c>
      <c r="AF15" s="6">
        <v>2</v>
      </c>
      <c r="AG15" s="6"/>
      <c r="AH15" s="1">
        <v>0</v>
      </c>
      <c r="AI15" s="1">
        <v>4</v>
      </c>
      <c r="AJ15" s="1"/>
      <c r="AK15" s="1">
        <f t="shared" si="12"/>
        <v>4.5996237066436851E-2</v>
      </c>
      <c r="AL15" s="2"/>
    </row>
    <row r="16" spans="1:38" ht="15">
      <c r="A16" s="24" t="s">
        <v>37</v>
      </c>
      <c r="B16" s="12" t="s">
        <v>22</v>
      </c>
      <c r="C16" s="23">
        <v>856.01</v>
      </c>
      <c r="D16" s="22">
        <v>0.72699999999999998</v>
      </c>
      <c r="E16" s="11">
        <f t="shared" si="13"/>
        <v>2.0194444444444443E-4</v>
      </c>
      <c r="F16" s="11">
        <v>0.3</v>
      </c>
      <c r="G16" s="14">
        <f t="shared" si="0"/>
        <v>2.9275908896009804E-2</v>
      </c>
      <c r="H16" s="14">
        <f t="shared" si="9"/>
        <v>2.9275908896009804</v>
      </c>
      <c r="I16" s="14">
        <f t="shared" si="1"/>
        <v>1.1525948384255829</v>
      </c>
      <c r="J16" s="8">
        <v>1.25</v>
      </c>
      <c r="K16" s="11" t="s">
        <v>46</v>
      </c>
      <c r="L16" s="14">
        <f t="shared" si="10"/>
        <v>1.2779527559055117</v>
      </c>
      <c r="M16" s="1">
        <v>3.246</v>
      </c>
      <c r="N16" s="1">
        <v>0.48499999999999999</v>
      </c>
      <c r="O16" s="1">
        <v>4.1260000000000003</v>
      </c>
      <c r="P16" s="16">
        <f t="shared" si="15"/>
        <v>0.24403099896231342</v>
      </c>
      <c r="Q16" s="24" t="s">
        <v>37</v>
      </c>
      <c r="R16" s="1">
        <f>8.22+0.31</f>
        <v>8.5300000000000011</v>
      </c>
      <c r="S16" s="1">
        <f>0.64+0.65</f>
        <v>1.29</v>
      </c>
      <c r="T16" s="11">
        <f t="shared" si="3"/>
        <v>7.8066300000000011</v>
      </c>
      <c r="U16" s="11">
        <f t="shared" si="4"/>
        <v>17.626630000000002</v>
      </c>
      <c r="V16" s="11">
        <f t="shared" si="11"/>
        <v>1175.26</v>
      </c>
      <c r="W16" s="17">
        <v>1E-3</v>
      </c>
      <c r="X16" s="18">
        <v>70</v>
      </c>
      <c r="Y16" s="11">
        <f t="shared" si="5"/>
        <v>343.15</v>
      </c>
      <c r="Z16" s="16">
        <f t="shared" si="14"/>
        <v>287.33559205189795</v>
      </c>
      <c r="AA16" s="27">
        <f t="shared" si="7"/>
        <v>9309.5238399409573</v>
      </c>
      <c r="AB16" s="19">
        <v>6.0000000000000001E-3</v>
      </c>
      <c r="AC16" s="19">
        <f t="shared" si="8"/>
        <v>1.8484288354898336E-3</v>
      </c>
      <c r="AD16" s="5">
        <v>8.5000000000000006E-3</v>
      </c>
      <c r="AE16" s="24" t="s">
        <v>37</v>
      </c>
      <c r="AF16" s="6">
        <v>2</v>
      </c>
      <c r="AG16" s="6"/>
      <c r="AH16" s="1">
        <v>0</v>
      </c>
      <c r="AI16" s="1">
        <v>5</v>
      </c>
      <c r="AJ16" s="1"/>
      <c r="AK16" s="1">
        <f t="shared" si="12"/>
        <v>5.6039039422981198E-2</v>
      </c>
      <c r="AL16" s="2"/>
    </row>
    <row r="17" spans="1:38" ht="15">
      <c r="A17" s="24" t="s">
        <v>71</v>
      </c>
      <c r="B17" s="12" t="s">
        <v>22</v>
      </c>
      <c r="C17" s="23">
        <v>839.23</v>
      </c>
      <c r="D17" s="22">
        <v>0.71399999999999997</v>
      </c>
      <c r="E17" s="11">
        <f t="shared" si="13"/>
        <v>1.9833333333333332E-4</v>
      </c>
      <c r="F17" s="11">
        <v>0.3</v>
      </c>
      <c r="G17" s="14">
        <f t="shared" si="0"/>
        <v>2.9012976581703379E-2</v>
      </c>
      <c r="H17" s="14">
        <f t="shared" si="9"/>
        <v>2.9012976581703378</v>
      </c>
      <c r="I17" s="14">
        <f t="shared" si="1"/>
        <v>1.1422431725080071</v>
      </c>
      <c r="J17" s="8">
        <v>1.25</v>
      </c>
      <c r="K17" s="11" t="s">
        <v>46</v>
      </c>
      <c r="L17" s="14">
        <f t="shared" si="10"/>
        <v>1.2779527559055117</v>
      </c>
      <c r="M17" s="1">
        <v>3.246</v>
      </c>
      <c r="N17" s="1">
        <v>0.48499999999999999</v>
      </c>
      <c r="O17" s="1">
        <v>4.1260000000000003</v>
      </c>
      <c r="P17" s="16">
        <f t="shared" si="15"/>
        <v>0.23966730847192819</v>
      </c>
      <c r="Q17" s="24" t="s">
        <v>71</v>
      </c>
      <c r="R17" s="1">
        <v>4.7</v>
      </c>
      <c r="S17" s="1">
        <v>0.5</v>
      </c>
      <c r="T17" s="11">
        <f t="shared" si="3"/>
        <v>3.5868300000000004</v>
      </c>
      <c r="U17" s="11">
        <f t="shared" si="4"/>
        <v>8.7868300000000001</v>
      </c>
      <c r="V17" s="11">
        <f t="shared" si="11"/>
        <v>1175.26</v>
      </c>
      <c r="W17" s="17">
        <v>1E-3</v>
      </c>
      <c r="X17" s="18">
        <v>70</v>
      </c>
      <c r="Y17" s="11">
        <f t="shared" si="5"/>
        <v>343.15</v>
      </c>
      <c r="Z17" s="16">
        <f t="shared" si="14"/>
        <v>281.70307463430839</v>
      </c>
      <c r="AA17" s="27">
        <f t="shared" si="7"/>
        <v>9143.0536749901567</v>
      </c>
      <c r="AB17" s="19">
        <v>6.0000000000000001E-3</v>
      </c>
      <c r="AC17" s="19">
        <f t="shared" si="8"/>
        <v>1.8484288354898336E-3</v>
      </c>
      <c r="AD17" s="5">
        <v>8.5000000000000006E-3</v>
      </c>
      <c r="AE17" s="24" t="s">
        <v>71</v>
      </c>
      <c r="AF17" s="6">
        <v>1</v>
      </c>
      <c r="AG17" s="6"/>
      <c r="AH17" s="1">
        <v>1</v>
      </c>
      <c r="AI17" s="1">
        <v>2</v>
      </c>
      <c r="AJ17" s="1"/>
      <c r="AK17" s="1">
        <f t="shared" si="12"/>
        <v>2.694518811727413E-2</v>
      </c>
      <c r="AL17" s="7"/>
    </row>
    <row r="18" spans="1:38" ht="15">
      <c r="A18" s="24" t="s">
        <v>38</v>
      </c>
      <c r="B18" s="12" t="s">
        <v>22</v>
      </c>
      <c r="C18" s="23">
        <v>839.23</v>
      </c>
      <c r="D18" s="22">
        <v>0.71399999999999997</v>
      </c>
      <c r="E18" s="11">
        <f t="shared" si="13"/>
        <v>1.9833333333333332E-4</v>
      </c>
      <c r="F18" s="11">
        <v>0.3</v>
      </c>
      <c r="G18" s="14">
        <f t="shared" si="0"/>
        <v>2.9012976581703379E-2</v>
      </c>
      <c r="H18" s="14">
        <f t="shared" si="9"/>
        <v>2.9012976581703378</v>
      </c>
      <c r="I18" s="14">
        <f t="shared" si="1"/>
        <v>1.1422431725080071</v>
      </c>
      <c r="J18" s="8">
        <v>1.25</v>
      </c>
      <c r="K18" s="11" t="s">
        <v>46</v>
      </c>
      <c r="L18" s="14">
        <f t="shared" si="10"/>
        <v>1.2779527559055117</v>
      </c>
      <c r="M18" s="1">
        <v>3.246</v>
      </c>
      <c r="N18" s="1">
        <v>0.48499999999999999</v>
      </c>
      <c r="O18" s="1">
        <v>4.1260000000000003</v>
      </c>
      <c r="P18" s="16">
        <f t="shared" si="15"/>
        <v>0.23966730847192819</v>
      </c>
      <c r="Q18" s="24" t="s">
        <v>38</v>
      </c>
      <c r="R18" s="1">
        <f>3.6</f>
        <v>3.6</v>
      </c>
      <c r="S18" s="1">
        <v>0</v>
      </c>
      <c r="T18" s="11">
        <f t="shared" si="3"/>
        <v>5.2260600000000013</v>
      </c>
      <c r="U18" s="11">
        <f t="shared" si="4"/>
        <v>8.8260600000000018</v>
      </c>
      <c r="V18" s="11">
        <f t="shared" si="11"/>
        <v>1175.26</v>
      </c>
      <c r="W18" s="17">
        <v>1E-3</v>
      </c>
      <c r="X18" s="18">
        <v>70</v>
      </c>
      <c r="Y18" s="11">
        <f t="shared" si="5"/>
        <v>343.15</v>
      </c>
      <c r="Z18" s="16">
        <f t="shared" si="14"/>
        <v>281.70307463430839</v>
      </c>
      <c r="AA18" s="27">
        <f t="shared" si="7"/>
        <v>9143.0536749901567</v>
      </c>
      <c r="AB18" s="19">
        <v>6.0000000000000001E-3</v>
      </c>
      <c r="AC18" s="19">
        <f t="shared" si="8"/>
        <v>1.8484288354898336E-3</v>
      </c>
      <c r="AD18" s="5">
        <v>8.5000000000000006E-3</v>
      </c>
      <c r="AE18" s="24" t="s">
        <v>38</v>
      </c>
      <c r="AF18" s="6"/>
      <c r="AG18" s="6">
        <v>1</v>
      </c>
      <c r="AH18" s="1"/>
      <c r="AI18" s="1"/>
      <c r="AJ18" s="1">
        <v>1</v>
      </c>
      <c r="AK18" s="1">
        <f t="shared" si="12"/>
        <v>2.7065488581701089E-2</v>
      </c>
      <c r="AL18" s="7"/>
    </row>
    <row r="19" spans="1:38" ht="15">
      <c r="A19" s="24" t="s">
        <v>39</v>
      </c>
      <c r="B19" s="12" t="s">
        <v>22</v>
      </c>
      <c r="C19" s="23">
        <v>839.23</v>
      </c>
      <c r="D19" s="22">
        <v>0.71399999999999997</v>
      </c>
      <c r="E19" s="11">
        <f t="shared" si="13"/>
        <v>1.9833333333333332E-4</v>
      </c>
      <c r="F19" s="11">
        <v>0.3</v>
      </c>
      <c r="G19" s="14">
        <f t="shared" si="0"/>
        <v>2.9012976581703379E-2</v>
      </c>
      <c r="H19" s="14">
        <f t="shared" si="9"/>
        <v>2.9012976581703378</v>
      </c>
      <c r="I19" s="14">
        <f t="shared" si="1"/>
        <v>1.1422431725080071</v>
      </c>
      <c r="J19" s="8">
        <v>1.25</v>
      </c>
      <c r="K19" s="11" t="s">
        <v>46</v>
      </c>
      <c r="L19" s="14">
        <f t="shared" si="10"/>
        <v>1.2779527559055117</v>
      </c>
      <c r="M19" s="1">
        <v>3.246</v>
      </c>
      <c r="N19" s="1">
        <v>0.48499999999999999</v>
      </c>
      <c r="O19" s="1">
        <v>4.1260000000000003</v>
      </c>
      <c r="P19" s="16">
        <f t="shared" si="15"/>
        <v>0.23966730847192819</v>
      </c>
      <c r="Q19" s="24" t="s">
        <v>39</v>
      </c>
      <c r="R19" s="1">
        <v>1.07</v>
      </c>
      <c r="S19" s="1">
        <v>2</v>
      </c>
      <c r="T19" s="11">
        <f t="shared" si="3"/>
        <v>2.8240200000000004</v>
      </c>
      <c r="U19" s="11">
        <f t="shared" si="4"/>
        <v>5.8940200000000011</v>
      </c>
      <c r="V19" s="11">
        <f t="shared" si="11"/>
        <v>1175.26</v>
      </c>
      <c r="W19" s="17">
        <v>1E-3</v>
      </c>
      <c r="X19" s="18">
        <v>15</v>
      </c>
      <c r="Y19" s="11">
        <f t="shared" si="5"/>
        <v>288.14999999999998</v>
      </c>
      <c r="Z19" s="16">
        <f t="shared" si="14"/>
        <v>281.70307463430839</v>
      </c>
      <c r="AA19" s="27">
        <f t="shared" si="7"/>
        <v>9143.0536749901567</v>
      </c>
      <c r="AB19" s="19">
        <v>6.0000000000000001E-3</v>
      </c>
      <c r="AC19" s="19">
        <f t="shared" si="8"/>
        <v>1.8484288354898336E-3</v>
      </c>
      <c r="AD19" s="5">
        <v>8.5000000000000006E-3</v>
      </c>
      <c r="AE19" s="24" t="s">
        <v>39</v>
      </c>
      <c r="AF19" s="1">
        <v>1</v>
      </c>
      <c r="AG19" s="1"/>
      <c r="AH19" s="1"/>
      <c r="AI19" s="1"/>
      <c r="AJ19" s="1">
        <v>1</v>
      </c>
      <c r="AK19" s="1">
        <f t="shared" si="12"/>
        <v>1.807426314916484E-2</v>
      </c>
      <c r="AL19" s="7"/>
    </row>
    <row r="20" spans="1:38" ht="15">
      <c r="A20" s="24" t="s">
        <v>40</v>
      </c>
      <c r="B20" s="12" t="s">
        <v>22</v>
      </c>
      <c r="C20" s="23">
        <v>1678.46</v>
      </c>
      <c r="D20" s="22">
        <v>1.4279999999999999</v>
      </c>
      <c r="E20" s="11">
        <f t="shared" si="13"/>
        <v>3.9666666666666664E-4</v>
      </c>
      <c r="F20" s="11">
        <v>0.3</v>
      </c>
      <c r="G20" s="14">
        <f>SQRT(4*E20/(PI()*F20))</f>
        <v>4.1030544966657916E-2</v>
      </c>
      <c r="H20" s="14">
        <f t="shared" si="9"/>
        <v>4.1030544966657914</v>
      </c>
      <c r="I20" s="14">
        <f>G20/0.0254</f>
        <v>1.6153757860888944</v>
      </c>
      <c r="J20" s="8">
        <v>2</v>
      </c>
      <c r="K20" s="11" t="s">
        <v>46</v>
      </c>
      <c r="L20" s="14">
        <f t="shared" si="10"/>
        <v>1.9389763779527558</v>
      </c>
      <c r="M20" s="4">
        <v>4.9249999999999998</v>
      </c>
      <c r="N20" s="3">
        <v>0.55400000000000005</v>
      </c>
      <c r="O20" s="4">
        <v>6.0330000000000004</v>
      </c>
      <c r="P20" s="16">
        <f>4*E20/(PI()*(L20*0.0254)^2)</f>
        <v>0.20822043797192663</v>
      </c>
      <c r="Q20" s="26" t="s">
        <v>40</v>
      </c>
      <c r="R20" s="1">
        <v>1.47</v>
      </c>
      <c r="S20" s="1">
        <v>0</v>
      </c>
      <c r="T20" s="11">
        <f t="shared" si="3"/>
        <v>3.4228749999999994</v>
      </c>
      <c r="U20" s="11">
        <f>R20+S20+T20</f>
        <v>4.8928749999999992</v>
      </c>
      <c r="V20" s="11">
        <f t="shared" si="11"/>
        <v>1175.26</v>
      </c>
      <c r="W20" s="17">
        <v>1E-3</v>
      </c>
      <c r="X20" s="18">
        <v>70</v>
      </c>
      <c r="Y20" s="11">
        <f>273.15+X20</f>
        <v>343.15</v>
      </c>
      <c r="Z20" s="16">
        <f t="shared" si="14"/>
        <v>244.74066969072831</v>
      </c>
      <c r="AA20" s="27">
        <f t="shared" si="7"/>
        <v>12052.122732596159</v>
      </c>
      <c r="AB20" s="19">
        <v>6.0000000000000001E-3</v>
      </c>
      <c r="AC20" s="19">
        <f t="shared" si="8"/>
        <v>1.2182741116751269E-3</v>
      </c>
      <c r="AD20" s="5">
        <v>7.4999999999999997E-3</v>
      </c>
      <c r="AE20" s="24" t="s">
        <v>40</v>
      </c>
      <c r="AF20" s="1"/>
      <c r="AG20" s="1"/>
      <c r="AH20" s="1">
        <v>1</v>
      </c>
      <c r="AI20" s="1"/>
      <c r="AJ20" s="1">
        <v>1</v>
      </c>
      <c r="AK20" s="1">
        <f t="shared" si="12"/>
        <v>6.5860776833794191E-3</v>
      </c>
      <c r="AL20" s="7"/>
    </row>
    <row r="21" spans="1:38" ht="15">
      <c r="A21" s="24" t="s">
        <v>41</v>
      </c>
      <c r="B21" s="12" t="s">
        <v>22</v>
      </c>
      <c r="C21" s="23">
        <v>1678.46</v>
      </c>
      <c r="D21" s="22">
        <v>1.4279999999999999</v>
      </c>
      <c r="E21" s="11">
        <f t="shared" si="13"/>
        <v>3.9666666666666664E-4</v>
      </c>
      <c r="F21" s="11">
        <v>0.3</v>
      </c>
      <c r="G21" s="14">
        <f t="shared" si="0"/>
        <v>4.1030544966657916E-2</v>
      </c>
      <c r="H21" s="14">
        <f t="shared" si="9"/>
        <v>4.1030544966657914</v>
      </c>
      <c r="I21" s="14">
        <f t="shared" si="1"/>
        <v>1.6153757860888944</v>
      </c>
      <c r="J21" s="8">
        <v>2</v>
      </c>
      <c r="K21" s="11" t="s">
        <v>46</v>
      </c>
      <c r="L21" s="14">
        <f t="shared" si="10"/>
        <v>1.9389763779527558</v>
      </c>
      <c r="M21" s="4">
        <v>4.9249999999999998</v>
      </c>
      <c r="N21" s="3">
        <v>0.55400000000000005</v>
      </c>
      <c r="O21" s="4">
        <v>6.0330000000000004</v>
      </c>
      <c r="P21" s="16">
        <f t="shared" si="15"/>
        <v>0.20822043797192663</v>
      </c>
      <c r="Q21" s="24" t="s">
        <v>41</v>
      </c>
      <c r="R21" s="1">
        <f>1.03+0.49</f>
        <v>1.52</v>
      </c>
      <c r="S21" s="1">
        <v>0</v>
      </c>
      <c r="T21" s="11">
        <f t="shared" si="3"/>
        <v>8.1016250000000003</v>
      </c>
      <c r="U21" s="11">
        <f t="shared" si="4"/>
        <v>9.6216249999999999</v>
      </c>
      <c r="V21" s="11">
        <f t="shared" si="11"/>
        <v>1175.26</v>
      </c>
      <c r="W21" s="17">
        <v>1E-3</v>
      </c>
      <c r="X21" s="18">
        <v>15</v>
      </c>
      <c r="Y21" s="11">
        <f t="shared" si="5"/>
        <v>288.14999999999998</v>
      </c>
      <c r="Z21" s="16">
        <f t="shared" si="14"/>
        <v>244.74066969072831</v>
      </c>
      <c r="AA21" s="27">
        <f t="shared" si="7"/>
        <v>12052.122732596159</v>
      </c>
      <c r="AB21" s="19">
        <v>6.0000000000000001E-3</v>
      </c>
      <c r="AC21" s="19">
        <f t="shared" si="8"/>
        <v>1.2182741116751269E-3</v>
      </c>
      <c r="AD21" s="5">
        <v>7.4999999999999997E-3</v>
      </c>
      <c r="AE21" s="24" t="s">
        <v>41</v>
      </c>
      <c r="AF21" s="1">
        <v>1</v>
      </c>
      <c r="AG21" s="1">
        <v>1</v>
      </c>
      <c r="AH21" s="1"/>
      <c r="AI21" s="1">
        <v>1</v>
      </c>
      <c r="AJ21" s="1"/>
      <c r="AK21" s="1">
        <f t="shared" si="12"/>
        <v>1.2951234129289124E-2</v>
      </c>
      <c r="AL21" s="7"/>
    </row>
    <row r="22" spans="1:38" ht="15">
      <c r="A22" s="24" t="s">
        <v>42</v>
      </c>
      <c r="B22" s="12" t="s">
        <v>22</v>
      </c>
      <c r="C22" s="23">
        <v>1678.46</v>
      </c>
      <c r="D22" s="22">
        <v>1.4279999999999999</v>
      </c>
      <c r="E22" s="11">
        <f t="shared" si="13"/>
        <v>3.9666666666666664E-4</v>
      </c>
      <c r="F22" s="11">
        <v>0.3</v>
      </c>
      <c r="G22" s="14">
        <f t="shared" si="0"/>
        <v>4.1030544966657916E-2</v>
      </c>
      <c r="H22" s="14">
        <f t="shared" si="9"/>
        <v>4.1030544966657914</v>
      </c>
      <c r="I22" s="14">
        <f t="shared" si="1"/>
        <v>1.6153757860888944</v>
      </c>
      <c r="J22" s="8">
        <v>2</v>
      </c>
      <c r="K22" s="11" t="s">
        <v>46</v>
      </c>
      <c r="L22" s="14">
        <f t="shared" si="10"/>
        <v>1.9389763779527558</v>
      </c>
      <c r="M22" s="4">
        <v>4.9249999999999998</v>
      </c>
      <c r="N22" s="3">
        <v>0.55400000000000005</v>
      </c>
      <c r="O22" s="4">
        <v>6.0330000000000004</v>
      </c>
      <c r="P22" s="16">
        <f t="shared" si="15"/>
        <v>0.20822043797192663</v>
      </c>
      <c r="Q22" s="24" t="s">
        <v>42</v>
      </c>
      <c r="R22" s="1">
        <f>0.71+1.04+4.23</f>
        <v>5.98</v>
      </c>
      <c r="S22" s="1">
        <v>0</v>
      </c>
      <c r="T22" s="11">
        <f t="shared" si="3"/>
        <v>6.3039999999999994</v>
      </c>
      <c r="U22" s="11">
        <f t="shared" si="4"/>
        <v>12.283999999999999</v>
      </c>
      <c r="V22" s="11">
        <f t="shared" si="11"/>
        <v>1175.26</v>
      </c>
      <c r="W22" s="17">
        <v>1E-3</v>
      </c>
      <c r="X22" s="18">
        <v>15</v>
      </c>
      <c r="Y22" s="11">
        <f t="shared" si="5"/>
        <v>288.14999999999998</v>
      </c>
      <c r="Z22" s="16">
        <f t="shared" si="14"/>
        <v>244.74066969072831</v>
      </c>
      <c r="AA22" s="27">
        <f t="shared" si="7"/>
        <v>12052.122732596159</v>
      </c>
      <c r="AB22" s="19">
        <v>6.0000000000000001E-3</v>
      </c>
      <c r="AC22" s="19">
        <f t="shared" si="8"/>
        <v>1.2182741116751269E-3</v>
      </c>
      <c r="AD22" s="5">
        <v>7.4999999999999997E-3</v>
      </c>
      <c r="AE22" s="24" t="s">
        <v>42</v>
      </c>
      <c r="AF22" s="1">
        <v>2</v>
      </c>
      <c r="AG22" s="1"/>
      <c r="AH22" s="1"/>
      <c r="AI22" s="1">
        <v>2</v>
      </c>
      <c r="AJ22" s="1"/>
      <c r="AK22" s="1">
        <f t="shared" si="12"/>
        <v>1.6534936670696224E-2</v>
      </c>
      <c r="AL22" s="7"/>
    </row>
    <row r="23" spans="1:38" ht="15">
      <c r="A23" s="24" t="s">
        <v>43</v>
      </c>
      <c r="B23" s="12" t="s">
        <v>22</v>
      </c>
      <c r="C23" s="23">
        <v>79.569999999999993</v>
      </c>
      <c r="D23" s="22">
        <v>6.5000000000000002E-2</v>
      </c>
      <c r="E23" s="11">
        <f t="shared" si="13"/>
        <v>1.8055555555555555E-5</v>
      </c>
      <c r="F23" s="11">
        <v>0.3</v>
      </c>
      <c r="G23" s="14">
        <f t="shared" si="0"/>
        <v>8.7538653053943344E-3</v>
      </c>
      <c r="H23" s="14">
        <f t="shared" si="9"/>
        <v>0.87538653053943349</v>
      </c>
      <c r="I23" s="14">
        <f t="shared" si="1"/>
        <v>0.34464036635410766</v>
      </c>
      <c r="J23" s="8">
        <v>0.25</v>
      </c>
      <c r="K23" s="11" t="s">
        <v>48</v>
      </c>
      <c r="L23" s="14">
        <f t="shared" si="10"/>
        <v>0.36417322834645671</v>
      </c>
      <c r="M23" s="4">
        <v>0.92500000000000004</v>
      </c>
      <c r="N23" s="3">
        <v>0.224</v>
      </c>
      <c r="O23" s="4">
        <v>1.3720000000000001</v>
      </c>
      <c r="P23" s="16">
        <f t="shared" si="15"/>
        <v>0.26868134212413142</v>
      </c>
      <c r="Q23" s="24" t="s">
        <v>43</v>
      </c>
      <c r="R23" s="1">
        <f>1.31</f>
        <v>1.31</v>
      </c>
      <c r="S23" s="1">
        <v>5</v>
      </c>
      <c r="T23" s="11">
        <f t="shared" si="3"/>
        <v>0.78162500000000013</v>
      </c>
      <c r="U23" s="11">
        <f t="shared" si="4"/>
        <v>7.0916250000000005</v>
      </c>
      <c r="V23" s="11">
        <f t="shared" si="11"/>
        <v>1175.26</v>
      </c>
      <c r="W23" s="17">
        <v>1E-3</v>
      </c>
      <c r="X23" s="18">
        <v>15</v>
      </c>
      <c r="Y23" s="11">
        <f t="shared" si="5"/>
        <v>288.14999999999998</v>
      </c>
      <c r="Z23" s="16">
        <f t="shared" si="14"/>
        <v>328.90729835103275</v>
      </c>
      <c r="AA23" s="27">
        <f t="shared" si="7"/>
        <v>2920.8765158394626</v>
      </c>
      <c r="AB23" s="19">
        <v>6.0000000000000001E-3</v>
      </c>
      <c r="AC23" s="19">
        <f t="shared" si="8"/>
        <v>6.4864864864864862E-3</v>
      </c>
      <c r="AD23" s="5">
        <f>16/AA23</f>
        <v>5.4778077447760866E-3</v>
      </c>
      <c r="AE23" s="24" t="s">
        <v>43</v>
      </c>
      <c r="AF23" s="1"/>
      <c r="AG23" s="1"/>
      <c r="AH23" s="1">
        <v>1</v>
      </c>
      <c r="AI23" s="1">
        <v>2</v>
      </c>
      <c r="AJ23" s="1"/>
      <c r="AK23" s="1">
        <f t="shared" si="12"/>
        <v>6.1808303262128113E-2</v>
      </c>
      <c r="AL23" s="7"/>
    </row>
    <row r="24" spans="1:38" ht="15">
      <c r="A24" s="24" t="s">
        <v>44</v>
      </c>
      <c r="B24" s="12" t="s">
        <v>22</v>
      </c>
      <c r="C24" s="23">
        <v>79.569999999999993</v>
      </c>
      <c r="D24" s="22">
        <v>6.5000000000000002E-2</v>
      </c>
      <c r="E24" s="11">
        <f t="shared" si="13"/>
        <v>1.8055555555555555E-5</v>
      </c>
      <c r="F24" s="11">
        <v>0.3</v>
      </c>
      <c r="G24" s="14">
        <f t="shared" si="0"/>
        <v>8.7538653053943344E-3</v>
      </c>
      <c r="H24" s="14">
        <f t="shared" si="9"/>
        <v>0.87538653053943349</v>
      </c>
      <c r="I24" s="14">
        <f t="shared" si="1"/>
        <v>0.34464036635410766</v>
      </c>
      <c r="J24" s="8">
        <v>0.25</v>
      </c>
      <c r="K24" s="11" t="s">
        <v>48</v>
      </c>
      <c r="L24" s="14">
        <f t="shared" si="10"/>
        <v>0.36417322834645671</v>
      </c>
      <c r="M24" s="4">
        <v>0.92500000000000004</v>
      </c>
      <c r="N24" s="3">
        <v>0.224</v>
      </c>
      <c r="O24" s="4">
        <v>1.3720000000000001</v>
      </c>
      <c r="P24" s="16">
        <f t="shared" si="15"/>
        <v>0.26868134212413142</v>
      </c>
      <c r="Q24" s="24" t="s">
        <v>44</v>
      </c>
      <c r="R24" s="1">
        <f>1.64+1.76</f>
        <v>3.4</v>
      </c>
      <c r="S24" s="1">
        <v>5</v>
      </c>
      <c r="T24" s="11">
        <f t="shared" si="3"/>
        <v>2.2153750000000003</v>
      </c>
      <c r="U24" s="11">
        <f t="shared" si="4"/>
        <v>10.615375</v>
      </c>
      <c r="V24" s="11">
        <f t="shared" si="11"/>
        <v>1175.26</v>
      </c>
      <c r="W24" s="17">
        <v>1E-3</v>
      </c>
      <c r="X24" s="18">
        <v>15</v>
      </c>
      <c r="Y24" s="11">
        <f t="shared" si="5"/>
        <v>288.14999999999998</v>
      </c>
      <c r="Z24" s="16">
        <f t="shared" si="14"/>
        <v>328.90729835103275</v>
      </c>
      <c r="AA24" s="27">
        <f t="shared" si="7"/>
        <v>2920.8765158394626</v>
      </c>
      <c r="AB24" s="19">
        <v>6.0000000000000001E-3</v>
      </c>
      <c r="AC24" s="19">
        <f t="shared" si="8"/>
        <v>6.4864864864864862E-3</v>
      </c>
      <c r="AD24" s="5">
        <f>16/AA24</f>
        <v>5.4778077447760866E-3</v>
      </c>
      <c r="AE24" s="24" t="s">
        <v>44</v>
      </c>
      <c r="AF24" s="1">
        <v>1</v>
      </c>
      <c r="AG24" s="1">
        <v>1</v>
      </c>
      <c r="AH24" s="1"/>
      <c r="AI24" s="1">
        <v>3</v>
      </c>
      <c r="AJ24" s="1"/>
      <c r="AK24" s="1">
        <f t="shared" si="12"/>
        <v>9.2520165299379661E-2</v>
      </c>
      <c r="AL24" s="7"/>
    </row>
    <row r="25" spans="1:38" ht="15">
      <c r="A25" s="24" t="s">
        <v>51</v>
      </c>
      <c r="B25" s="12" t="s">
        <v>22</v>
      </c>
      <c r="C25" s="23">
        <v>544.95000000000005</v>
      </c>
      <c r="D25" s="22">
        <v>0.48599999999999999</v>
      </c>
      <c r="E25" s="11">
        <f t="shared" si="13"/>
        <v>1.35E-4</v>
      </c>
      <c r="F25" s="11">
        <v>0.3</v>
      </c>
      <c r="G25" s="14">
        <f t="shared" si="0"/>
        <v>2.3936536824085961E-2</v>
      </c>
      <c r="H25" s="14">
        <f t="shared" si="9"/>
        <v>2.3936536824085959</v>
      </c>
      <c r="I25" s="14">
        <f t="shared" si="1"/>
        <v>0.94238333953094333</v>
      </c>
      <c r="J25" s="8">
        <v>1</v>
      </c>
      <c r="K25" s="11" t="s">
        <v>46</v>
      </c>
      <c r="L25" s="14">
        <f t="shared" si="10"/>
        <v>0.95708661417322838</v>
      </c>
      <c r="M25" s="4">
        <v>2.431</v>
      </c>
      <c r="N25" s="1">
        <v>0.45500000000000002</v>
      </c>
      <c r="O25" s="4">
        <v>3.34</v>
      </c>
      <c r="P25" s="16">
        <f t="shared" si="15"/>
        <v>0.29085328245803338</v>
      </c>
      <c r="Q25" s="24" t="s">
        <v>51</v>
      </c>
      <c r="R25" s="1">
        <f>4.04</f>
        <v>4.04</v>
      </c>
      <c r="S25" s="1">
        <v>5</v>
      </c>
      <c r="T25" s="11">
        <f t="shared" si="3"/>
        <v>2.6862550000000001</v>
      </c>
      <c r="U25" s="11">
        <f t="shared" si="4"/>
        <v>11.726254999999998</v>
      </c>
      <c r="V25" s="11">
        <f t="shared" si="11"/>
        <v>1175.26</v>
      </c>
      <c r="W25" s="17">
        <v>1E-3</v>
      </c>
      <c r="X25" s="18">
        <v>15</v>
      </c>
      <c r="Y25" s="11">
        <f t="shared" si="5"/>
        <v>288.14999999999998</v>
      </c>
      <c r="Z25" s="16">
        <f t="shared" si="14"/>
        <v>326.13270838581332</v>
      </c>
      <c r="AA25" s="27">
        <f t="shared" si="7"/>
        <v>8309.8442407089842</v>
      </c>
      <c r="AB25" s="19">
        <v>6.0000000000000001E-3</v>
      </c>
      <c r="AC25" s="19">
        <f t="shared" si="8"/>
        <v>2.4681201151789387E-3</v>
      </c>
      <c r="AD25" s="1">
        <v>8.3000000000000001E-3</v>
      </c>
      <c r="AE25" s="24" t="s">
        <v>51</v>
      </c>
      <c r="AF25" s="1">
        <v>1</v>
      </c>
      <c r="AG25" s="1"/>
      <c r="AH25" s="1">
        <v>1</v>
      </c>
      <c r="AI25" s="1">
        <v>2</v>
      </c>
      <c r="AJ25" s="1"/>
      <c r="AK25" s="1">
        <f t="shared" si="12"/>
        <v>6.9049636213895357E-2</v>
      </c>
      <c r="AL25" s="7"/>
    </row>
    <row r="26" spans="1:38" ht="15">
      <c r="A26" s="24"/>
      <c r="B26" s="12"/>
      <c r="C26" s="23"/>
      <c r="D26" s="22"/>
      <c r="E26" s="11"/>
      <c r="F26" s="11"/>
      <c r="G26" s="14"/>
      <c r="H26" s="14"/>
      <c r="I26" s="14"/>
      <c r="J26" s="8"/>
      <c r="K26" s="11"/>
      <c r="L26" s="14"/>
      <c r="M26" s="4"/>
      <c r="N26" s="1"/>
      <c r="O26" s="4"/>
      <c r="P26" s="16"/>
      <c r="Q26" s="24"/>
      <c r="R26" s="1"/>
      <c r="S26" s="1"/>
      <c r="T26" s="11"/>
      <c r="U26" s="11"/>
      <c r="V26" s="11"/>
      <c r="W26" s="17"/>
      <c r="X26" s="18"/>
      <c r="Y26" s="11"/>
      <c r="Z26" s="16"/>
      <c r="AA26" s="27"/>
      <c r="AB26" s="19"/>
      <c r="AC26" s="19"/>
      <c r="AD26" s="1"/>
      <c r="AE26" s="24"/>
      <c r="AF26" s="1"/>
      <c r="AG26" s="1"/>
      <c r="AH26" s="1"/>
      <c r="AI26" s="1"/>
      <c r="AJ26" s="1"/>
      <c r="AK26" s="1"/>
      <c r="AL26" s="7"/>
    </row>
    <row r="27" spans="1:38" ht="15">
      <c r="A27" s="24"/>
      <c r="B27" s="12"/>
      <c r="C27" s="23"/>
      <c r="D27" s="22"/>
      <c r="E27" s="11"/>
      <c r="F27" s="11"/>
      <c r="G27" s="14"/>
      <c r="H27" s="14"/>
      <c r="I27" s="14"/>
      <c r="J27" s="8"/>
      <c r="K27" s="11"/>
      <c r="L27" s="14"/>
      <c r="M27" s="4"/>
      <c r="N27" s="1"/>
      <c r="O27" s="4"/>
      <c r="P27" s="16"/>
      <c r="Q27" s="24"/>
      <c r="R27" s="1"/>
      <c r="S27" s="1"/>
      <c r="T27" s="11"/>
      <c r="U27" s="11"/>
      <c r="V27" s="11"/>
      <c r="W27" s="17"/>
      <c r="X27" s="18"/>
      <c r="Y27" s="11"/>
      <c r="Z27" s="16"/>
      <c r="AA27" s="27"/>
      <c r="AB27" s="19"/>
      <c r="AC27" s="19"/>
      <c r="AD27" s="1"/>
      <c r="AE27" s="24"/>
      <c r="AF27" s="1"/>
      <c r="AG27" s="1"/>
      <c r="AH27" s="1"/>
      <c r="AI27" s="1"/>
      <c r="AJ27" s="1"/>
      <c r="AK27" s="1"/>
      <c r="AL27" s="7"/>
    </row>
    <row r="28" spans="1:38" ht="15">
      <c r="A28" s="24"/>
      <c r="B28" s="12"/>
      <c r="C28" s="23"/>
      <c r="D28" s="22"/>
      <c r="E28" s="11"/>
      <c r="F28" s="11"/>
      <c r="G28" s="14"/>
      <c r="H28" s="14"/>
      <c r="I28" s="14"/>
      <c r="J28" s="8"/>
      <c r="K28" s="11"/>
      <c r="L28" s="14"/>
      <c r="M28" s="4"/>
      <c r="N28" s="1"/>
      <c r="O28" s="4"/>
      <c r="P28" s="16"/>
      <c r="Q28" s="24"/>
      <c r="R28" s="1"/>
      <c r="S28" s="1"/>
      <c r="T28" s="11"/>
      <c r="U28" s="11"/>
      <c r="V28" s="11"/>
      <c r="W28" s="17"/>
      <c r="X28" s="18"/>
      <c r="Y28" s="11"/>
      <c r="Z28" s="16"/>
      <c r="AA28" s="27"/>
      <c r="AB28" s="19"/>
      <c r="AC28" s="19"/>
      <c r="AD28" s="1"/>
      <c r="AE28" s="24"/>
      <c r="AF28" s="1"/>
      <c r="AG28" s="1"/>
      <c r="AH28" s="1"/>
      <c r="AI28" s="1"/>
      <c r="AJ28" s="1"/>
      <c r="AK28" s="1"/>
      <c r="AL28" s="7"/>
    </row>
    <row r="29" spans="1:38" ht="15">
      <c r="A29" s="24"/>
      <c r="B29" s="12"/>
      <c r="C29" s="23"/>
      <c r="D29" s="22"/>
      <c r="E29" s="11"/>
      <c r="F29" s="11"/>
      <c r="G29" s="14"/>
      <c r="H29" s="14"/>
      <c r="I29" s="14"/>
      <c r="J29" s="8"/>
      <c r="K29" s="11"/>
      <c r="L29" s="14"/>
      <c r="M29" s="4"/>
      <c r="N29" s="1"/>
      <c r="O29" s="4"/>
      <c r="P29" s="16"/>
      <c r="Q29" s="24"/>
      <c r="R29" s="1"/>
      <c r="S29" s="1"/>
      <c r="T29" s="11"/>
      <c r="U29" s="11"/>
      <c r="V29" s="11"/>
      <c r="W29" s="17"/>
      <c r="X29" s="18"/>
      <c r="Y29" s="11"/>
      <c r="Z29" s="16"/>
      <c r="AA29" s="27"/>
      <c r="AB29" s="19"/>
      <c r="AC29" s="19"/>
      <c r="AD29" s="1"/>
      <c r="AE29" s="24"/>
      <c r="AF29" s="1"/>
      <c r="AG29" s="1"/>
      <c r="AH29" s="1"/>
      <c r="AI29" s="1"/>
      <c r="AJ29" s="1"/>
      <c r="AK29" s="1"/>
      <c r="AL29" s="7"/>
    </row>
    <row r="30" spans="1:38" s="51" customFormat="1" ht="16.5" customHeight="1">
      <c r="A30" s="36" t="s">
        <v>74</v>
      </c>
      <c r="B30" s="37"/>
      <c r="C30" s="38"/>
      <c r="D30" s="39"/>
      <c r="E30" s="40"/>
      <c r="F30" s="40"/>
      <c r="G30" s="41"/>
      <c r="H30" s="41"/>
      <c r="I30" s="41"/>
      <c r="J30" s="42"/>
      <c r="K30" s="40"/>
      <c r="L30" s="41"/>
      <c r="M30" s="43"/>
      <c r="N30" s="44"/>
      <c r="O30" s="43"/>
      <c r="P30" s="45"/>
      <c r="Q30" s="36"/>
      <c r="R30" s="44"/>
      <c r="S30" s="44"/>
      <c r="T30" s="40"/>
      <c r="U30" s="40"/>
      <c r="V30" s="40"/>
      <c r="W30" s="46"/>
      <c r="X30" s="47"/>
      <c r="Y30" s="40"/>
      <c r="Z30" s="45"/>
      <c r="AA30" s="48"/>
      <c r="AB30" s="49"/>
      <c r="AC30" s="49"/>
      <c r="AD30" s="44"/>
      <c r="AE30" s="36"/>
      <c r="AF30" s="44"/>
      <c r="AG30" s="44"/>
      <c r="AH30" s="44"/>
      <c r="AI30" s="44"/>
      <c r="AJ30" s="44"/>
      <c r="AK30" s="44"/>
      <c r="AL30" s="50"/>
    </row>
    <row r="31" spans="1:38" ht="15">
      <c r="A31" s="24"/>
      <c r="B31" s="12"/>
      <c r="C31" s="23"/>
      <c r="D31" s="22"/>
      <c r="E31" s="11"/>
      <c r="F31" s="11"/>
      <c r="G31" s="14"/>
      <c r="H31" s="14"/>
      <c r="I31" s="14"/>
      <c r="J31" s="8"/>
      <c r="K31" s="11"/>
      <c r="L31" s="14"/>
      <c r="M31" s="4"/>
      <c r="N31" s="1"/>
      <c r="O31" s="4"/>
      <c r="P31" s="16"/>
      <c r="Q31" s="24"/>
      <c r="R31" s="1"/>
      <c r="S31" s="1"/>
      <c r="T31" s="11"/>
      <c r="U31" s="11"/>
      <c r="V31" s="11"/>
      <c r="W31" s="17"/>
      <c r="X31" s="18"/>
      <c r="Y31" s="11"/>
      <c r="Z31" s="16"/>
      <c r="AA31" s="27"/>
      <c r="AB31" s="19"/>
      <c r="AC31" s="19"/>
      <c r="AD31" s="1"/>
      <c r="AE31" s="24"/>
      <c r="AF31" s="1"/>
      <c r="AG31" s="1"/>
      <c r="AH31" s="1"/>
      <c r="AI31" s="1"/>
      <c r="AJ31" s="1"/>
      <c r="AK31" s="1"/>
      <c r="AL31" s="7"/>
    </row>
    <row r="32" spans="1:38">
      <c r="A32" s="52" t="s">
        <v>67</v>
      </c>
      <c r="B32" s="34">
        <v>3.1415999999999999</v>
      </c>
      <c r="C32" s="55"/>
      <c r="D32" s="53" t="s">
        <v>77</v>
      </c>
      <c r="E32" s="35">
        <v>3.1E-2</v>
      </c>
      <c r="F32" s="53" t="s">
        <v>76</v>
      </c>
      <c r="G32" s="35">
        <v>12</v>
      </c>
      <c r="H32" s="1"/>
      <c r="I32" s="1"/>
      <c r="J32" s="1"/>
      <c r="K32" s="1"/>
      <c r="L32" s="1"/>
      <c r="M32" s="4"/>
      <c r="N32" s="1"/>
      <c r="O32" s="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7"/>
    </row>
    <row r="33" spans="1:38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4"/>
      <c r="N33" s="1"/>
      <c r="O33" s="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7"/>
    </row>
    <row r="34" spans="1:38">
      <c r="A34" s="9" t="s">
        <v>57</v>
      </c>
      <c r="B34" s="9" t="s">
        <v>66</v>
      </c>
      <c r="C34" s="10" t="s">
        <v>61</v>
      </c>
      <c r="D34" s="10" t="s">
        <v>60</v>
      </c>
      <c r="J34" s="1"/>
      <c r="K34" s="1"/>
      <c r="L34" s="1"/>
      <c r="M34" s="4"/>
      <c r="N34" s="1"/>
      <c r="O34" s="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7"/>
    </row>
    <row r="35" spans="1:38">
      <c r="A35" s="2" t="s">
        <v>29</v>
      </c>
      <c r="B35" s="28">
        <f>(O8/100)/2</f>
        <v>1.0669999999999999E-2</v>
      </c>
      <c r="C35" s="1">
        <v>140</v>
      </c>
      <c r="D35" s="1">
        <v>25</v>
      </c>
      <c r="E35" s="1"/>
      <c r="F35" s="1"/>
      <c r="G35" s="1"/>
      <c r="H35" s="1"/>
      <c r="I35" s="1"/>
      <c r="J35" s="1"/>
      <c r="K35" s="2"/>
      <c r="L35" s="1"/>
      <c r="M35" s="4"/>
      <c r="N35" s="1"/>
      <c r="O35" s="4"/>
      <c r="P35" s="1"/>
      <c r="Q35" s="1"/>
      <c r="R35" s="2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7"/>
    </row>
    <row r="36" spans="1:38">
      <c r="A36" s="2"/>
      <c r="B36" s="28"/>
      <c r="C36" s="1"/>
      <c r="D36" s="1"/>
      <c r="E36" s="1"/>
      <c r="F36" s="1"/>
      <c r="G36" s="1"/>
      <c r="H36" s="1"/>
      <c r="I36" s="1"/>
      <c r="J36" s="1"/>
      <c r="K36" s="2"/>
      <c r="L36" s="1"/>
      <c r="M36" s="4"/>
      <c r="N36" s="1"/>
      <c r="O36" s="4"/>
      <c r="P36" s="1"/>
      <c r="Q36" s="1"/>
      <c r="R36" s="2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7"/>
    </row>
    <row r="37" spans="1:38">
      <c r="A37" s="9" t="s">
        <v>68</v>
      </c>
      <c r="B37" s="10" t="s">
        <v>59</v>
      </c>
      <c r="C37" s="10" t="s">
        <v>58</v>
      </c>
      <c r="D37" s="10" t="s">
        <v>62</v>
      </c>
      <c r="E37" s="10" t="s">
        <v>64</v>
      </c>
      <c r="F37" s="10" t="s">
        <v>63</v>
      </c>
      <c r="G37" s="1"/>
      <c r="H37" s="1"/>
      <c r="I37" s="1"/>
      <c r="J37" s="1"/>
      <c r="K37" s="2"/>
      <c r="L37" s="1"/>
      <c r="M37" s="4"/>
      <c r="N37" s="1"/>
      <c r="O37" s="4"/>
      <c r="P37" s="1"/>
      <c r="Q37" s="1"/>
      <c r="R37" s="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7"/>
    </row>
    <row r="38" spans="1:38">
      <c r="A38" s="1">
        <v>0</v>
      </c>
      <c r="B38" s="54">
        <f>$B$35+A38</f>
        <v>1.0669999999999999E-2</v>
      </c>
      <c r="C38" s="1">
        <f t="shared" ref="C38:C44" si="16">($C$35-$D$35)/(((LN(B38/(B38-A38)))/(2*$B$32*$E$32))+(1/($G$32*2*$B$32*B38)))</f>
        <v>92.517606719999975</v>
      </c>
      <c r="D38" s="1">
        <f>3.1416*(2*B38*A38-A38^2)</f>
        <v>0</v>
      </c>
      <c r="E38" s="1">
        <f>D38*5</f>
        <v>0</v>
      </c>
      <c r="F38" s="1">
        <f>0.00015*C38</f>
        <v>1.3877641007999994E-2</v>
      </c>
      <c r="G38" s="1"/>
      <c r="H38" s="1"/>
      <c r="I38" s="1"/>
      <c r="J38" s="1"/>
      <c r="K38" s="2"/>
      <c r="L38" s="1"/>
      <c r="M38" s="4"/>
      <c r="N38" s="1"/>
      <c r="O38" s="4"/>
      <c r="P38" s="1"/>
      <c r="Q38" s="1"/>
      <c r="R38" s="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7"/>
    </row>
    <row r="39" spans="1:38">
      <c r="A39" s="1">
        <v>5.0000000000000001E-3</v>
      </c>
      <c r="B39" s="54">
        <f t="shared" ref="B39:B44" si="17">$B$35+A39</f>
        <v>1.567E-2</v>
      </c>
      <c r="C39" s="1">
        <f t="shared" si="16"/>
        <v>40.7880734732395</v>
      </c>
      <c r="D39" s="1">
        <f t="shared" ref="D39:D44" si="18">3.1416*(2*B39*A39-A39^2)</f>
        <v>4.1374872000000002E-4</v>
      </c>
      <c r="E39" s="1">
        <f t="shared" ref="E39:E44" si="19">D39*5</f>
        <v>2.0687436000000003E-3</v>
      </c>
      <c r="F39" s="1">
        <f t="shared" ref="F39:F44" si="20">0.00015*C39</f>
        <v>6.1182110209859241E-3</v>
      </c>
      <c r="G39" s="1"/>
      <c r="H39" s="1"/>
      <c r="I39" s="1"/>
      <c r="J39" s="1"/>
      <c r="K39" s="2"/>
      <c r="L39" s="1"/>
      <c r="M39" s="4"/>
      <c r="N39" s="1"/>
      <c r="O39" s="4"/>
      <c r="P39" s="1"/>
      <c r="Q39" s="1"/>
      <c r="R39" s="2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7"/>
    </row>
    <row r="40" spans="1:38">
      <c r="A40" s="1">
        <v>0.01</v>
      </c>
      <c r="B40" s="54">
        <f t="shared" si="17"/>
        <v>2.0670000000000001E-2</v>
      </c>
      <c r="C40" s="1">
        <f t="shared" si="16"/>
        <v>28.489995531552459</v>
      </c>
      <c r="D40" s="1">
        <f t="shared" si="18"/>
        <v>9.8457744000000013E-4</v>
      </c>
      <c r="E40" s="1">
        <f t="shared" si="19"/>
        <v>4.9228872000000009E-3</v>
      </c>
      <c r="F40" s="1">
        <f t="shared" si="20"/>
        <v>4.2734993297328687E-3</v>
      </c>
      <c r="G40" s="1"/>
      <c r="H40" s="1"/>
      <c r="I40" s="1"/>
      <c r="J40" s="1"/>
      <c r="K40" s="2"/>
      <c r="L40" s="1"/>
      <c r="M40" s="4"/>
      <c r="N40" s="1"/>
      <c r="O40" s="4"/>
      <c r="P40" s="1"/>
      <c r="Q40" s="1"/>
      <c r="R40" s="2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7"/>
    </row>
    <row r="41" spans="1:38">
      <c r="A41" s="1">
        <v>1.4999999999999999E-2</v>
      </c>
      <c r="B41" s="54">
        <f t="shared" si="17"/>
        <v>2.5669999999999998E-2</v>
      </c>
      <c r="C41" s="1">
        <f t="shared" si="16"/>
        <v>22.891238304822163</v>
      </c>
      <c r="D41" s="1">
        <f t="shared" si="18"/>
        <v>1.7124861599999998E-3</v>
      </c>
      <c r="E41" s="1">
        <f t="shared" si="19"/>
        <v>8.5624307999999996E-3</v>
      </c>
      <c r="F41" s="1">
        <f t="shared" si="20"/>
        <v>3.4336857457233244E-3</v>
      </c>
      <c r="G41" s="1"/>
      <c r="H41" s="1"/>
      <c r="I41" s="1"/>
      <c r="J41" s="1"/>
      <c r="K41" s="2"/>
      <c r="L41" s="1"/>
      <c r="M41" s="4"/>
      <c r="N41" s="1"/>
      <c r="O41" s="4"/>
      <c r="P41" s="1"/>
      <c r="Q41" s="1"/>
      <c r="R41" s="2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7"/>
    </row>
    <row r="42" spans="1:38">
      <c r="A42" s="1">
        <v>0.02</v>
      </c>
      <c r="B42" s="54">
        <f t="shared" si="17"/>
        <v>3.0669999999999999E-2</v>
      </c>
      <c r="C42" s="1">
        <f t="shared" si="16"/>
        <v>19.647419349134147</v>
      </c>
      <c r="D42" s="1">
        <f t="shared" si="18"/>
        <v>2.5974748799999997E-3</v>
      </c>
      <c r="E42" s="1">
        <f t="shared" si="19"/>
        <v>1.2987374399999998E-2</v>
      </c>
      <c r="F42" s="1">
        <f t="shared" si="20"/>
        <v>2.9471129023701218E-3</v>
      </c>
      <c r="G42" s="1"/>
      <c r="H42" s="1"/>
      <c r="I42" s="1"/>
      <c r="J42" s="1"/>
      <c r="K42" s="2"/>
      <c r="L42" s="1"/>
      <c r="M42" s="4"/>
      <c r="N42" s="1"/>
      <c r="O42" s="4"/>
      <c r="P42" s="1"/>
      <c r="Q42" s="1"/>
      <c r="R42" s="2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7"/>
    </row>
    <row r="43" spans="1:38">
      <c r="A43" s="1">
        <v>2.5000000000000001E-2</v>
      </c>
      <c r="B43" s="54">
        <f t="shared" si="17"/>
        <v>3.567E-2</v>
      </c>
      <c r="C43" s="1">
        <f t="shared" si="16"/>
        <v>17.509309204899715</v>
      </c>
      <c r="D43" s="1">
        <f t="shared" si="18"/>
        <v>3.6395436000000001E-3</v>
      </c>
      <c r="E43" s="1">
        <f t="shared" si="19"/>
        <v>1.8197718000000002E-2</v>
      </c>
      <c r="F43" s="1">
        <f t="shared" si="20"/>
        <v>2.626396380734957E-3</v>
      </c>
      <c r="G43" s="1"/>
      <c r="H43" s="1"/>
      <c r="I43" s="1"/>
      <c r="J43" s="1"/>
      <c r="K43" s="2"/>
      <c r="L43" s="1"/>
      <c r="M43" s="4"/>
      <c r="N43" s="1"/>
      <c r="O43" s="4"/>
      <c r="P43" s="1"/>
      <c r="Q43" s="1"/>
      <c r="R43" s="2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7"/>
    </row>
    <row r="44" spans="1:38">
      <c r="A44" s="1">
        <v>9.4999999999999998E-3</v>
      </c>
      <c r="B44" s="54">
        <f t="shared" si="17"/>
        <v>2.017E-2</v>
      </c>
      <c r="C44" s="1">
        <f t="shared" si="16"/>
        <v>29.286724114660824</v>
      </c>
      <c r="D44" s="1">
        <f t="shared" si="18"/>
        <v>9.2042596799999992E-4</v>
      </c>
      <c r="E44" s="1">
        <f t="shared" si="19"/>
        <v>4.6021298400000001E-3</v>
      </c>
      <c r="F44" s="1">
        <f t="shared" si="20"/>
        <v>4.3930086171991229E-3</v>
      </c>
      <c r="G44" s="1"/>
      <c r="H44" s="1"/>
      <c r="I44" s="1"/>
      <c r="J44" s="1"/>
      <c r="K44" s="2"/>
      <c r="L44" s="1"/>
      <c r="M44" s="4"/>
      <c r="N44" s="1"/>
      <c r="O44" s="4"/>
      <c r="P44" s="1"/>
      <c r="Q44" s="1"/>
      <c r="R44" s="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7"/>
    </row>
    <row r="45" spans="1:38">
      <c r="A45" s="2"/>
      <c r="B45" s="28"/>
      <c r="C45" s="1"/>
      <c r="D45" s="1"/>
      <c r="E45" s="1"/>
      <c r="F45" s="1"/>
      <c r="G45" s="1"/>
      <c r="H45" s="1"/>
      <c r="I45" s="1"/>
      <c r="J45" s="1"/>
      <c r="K45" s="2"/>
      <c r="L45" s="1"/>
      <c r="M45" s="4"/>
      <c r="N45" s="1"/>
      <c r="O45" s="4"/>
      <c r="P45" s="1"/>
      <c r="Q45" s="1"/>
      <c r="R45" s="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7"/>
    </row>
    <row r="46" spans="1:38">
      <c r="A46" s="2"/>
      <c r="B46" s="28"/>
      <c r="C46" s="1"/>
      <c r="D46" s="1"/>
      <c r="E46" s="1"/>
      <c r="F46" s="1"/>
      <c r="G46" s="1"/>
      <c r="H46" s="1"/>
      <c r="I46" s="1"/>
      <c r="J46" s="1"/>
      <c r="K46" s="2"/>
      <c r="L46" s="1"/>
      <c r="M46" s="4"/>
      <c r="N46" s="1"/>
      <c r="O46" s="4"/>
      <c r="P46" s="1"/>
      <c r="Q46" s="1"/>
      <c r="R46" s="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7"/>
    </row>
    <row r="47" spans="1:38">
      <c r="A47" s="2"/>
      <c r="B47" s="28"/>
      <c r="C47" s="1"/>
      <c r="D47" s="1"/>
      <c r="E47" s="1"/>
      <c r="F47" s="1"/>
      <c r="G47" s="1"/>
      <c r="H47" s="1"/>
      <c r="I47" s="1"/>
      <c r="J47" s="1"/>
      <c r="K47" s="2"/>
      <c r="L47" s="1"/>
      <c r="M47" s="4"/>
      <c r="N47" s="1"/>
      <c r="O47" s="4"/>
      <c r="P47" s="1"/>
      <c r="Q47" s="1"/>
      <c r="R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7"/>
    </row>
    <row r="48" spans="1:38">
      <c r="A48" s="2"/>
      <c r="B48" s="28"/>
      <c r="C48" s="1"/>
      <c r="D48" s="1"/>
      <c r="E48" s="1"/>
      <c r="F48" s="1"/>
      <c r="G48" s="1"/>
      <c r="H48" s="1"/>
      <c r="I48" s="1"/>
      <c r="J48" s="1"/>
      <c r="K48" s="2"/>
      <c r="L48" s="1"/>
      <c r="M48" s="4"/>
      <c r="N48" s="1"/>
      <c r="O48" s="4"/>
      <c r="P48" s="1"/>
      <c r="Q48" s="1"/>
      <c r="R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7"/>
    </row>
    <row r="49" spans="1:38">
      <c r="A49" s="2"/>
      <c r="B49" s="2"/>
      <c r="C49" s="1"/>
      <c r="D49" s="1"/>
      <c r="E49" s="1"/>
      <c r="F49" s="1"/>
      <c r="G49" s="1"/>
      <c r="H49" s="1"/>
      <c r="I49" s="1"/>
      <c r="J49" s="1"/>
      <c r="K49" s="2"/>
      <c r="L49" s="1"/>
      <c r="M49" s="4"/>
      <c r="N49" s="1"/>
      <c r="O49" s="4"/>
      <c r="P49" s="1"/>
      <c r="Q49" s="1"/>
      <c r="R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7"/>
    </row>
    <row r="50" spans="1:38">
      <c r="A50" s="2"/>
      <c r="B50" s="2"/>
      <c r="C50" s="1"/>
      <c r="D50" s="1"/>
      <c r="E50" s="1"/>
      <c r="F50" s="1"/>
      <c r="G50" s="1"/>
      <c r="H50" s="1"/>
      <c r="I50" s="1"/>
      <c r="J50" s="1"/>
      <c r="K50" s="2"/>
      <c r="L50" s="1"/>
      <c r="M50" s="4"/>
      <c r="N50" s="1"/>
      <c r="O50" s="4"/>
      <c r="P50" s="1"/>
      <c r="Q50" s="1"/>
      <c r="R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7"/>
    </row>
    <row r="51" spans="1:38">
      <c r="A51" s="2"/>
      <c r="B51" s="2"/>
      <c r="C51" s="1"/>
      <c r="D51" s="1"/>
      <c r="E51" s="1"/>
      <c r="F51" s="1"/>
      <c r="G51" s="1"/>
      <c r="H51" s="1"/>
      <c r="I51" s="1"/>
      <c r="J51" s="1"/>
      <c r="K51" s="2"/>
      <c r="L51" s="1"/>
      <c r="M51" s="4"/>
      <c r="N51" s="1"/>
      <c r="O51" s="4"/>
      <c r="P51" s="1"/>
      <c r="Q51" s="1"/>
      <c r="R51" s="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7"/>
    </row>
    <row r="52" spans="1:38">
      <c r="A52" s="2"/>
      <c r="B52" s="2"/>
      <c r="C52" s="1"/>
      <c r="D52" s="1"/>
      <c r="E52" s="1"/>
      <c r="F52" s="1"/>
      <c r="G52" s="1"/>
      <c r="H52" s="1"/>
      <c r="I52" s="1"/>
      <c r="J52" s="1"/>
      <c r="K52" s="2"/>
      <c r="L52" s="1"/>
      <c r="M52" s="4"/>
      <c r="N52" s="1"/>
      <c r="O52" s="4"/>
      <c r="P52" s="1"/>
      <c r="Q52" s="1"/>
      <c r="R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7"/>
    </row>
    <row r="53" spans="1:38">
      <c r="A53" s="9" t="s">
        <v>57</v>
      </c>
      <c r="B53" s="9" t="s">
        <v>66</v>
      </c>
      <c r="C53" s="10" t="s">
        <v>61</v>
      </c>
      <c r="D53" s="10" t="s">
        <v>60</v>
      </c>
      <c r="E53" s="1"/>
      <c r="F53" s="1"/>
      <c r="G53" s="1"/>
      <c r="H53" s="1"/>
      <c r="I53" s="1"/>
      <c r="J53" s="1"/>
      <c r="K53" s="2"/>
      <c r="L53" s="1"/>
      <c r="M53" s="4"/>
      <c r="N53" s="1"/>
      <c r="O53" s="4"/>
      <c r="P53" s="1"/>
      <c r="Q53" s="1"/>
      <c r="R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7"/>
    </row>
    <row r="54" spans="1:38">
      <c r="A54" s="2" t="s">
        <v>69</v>
      </c>
      <c r="B54" s="28">
        <f>O10/100</f>
        <v>2.6669999999999999E-2</v>
      </c>
      <c r="C54" s="1">
        <v>118</v>
      </c>
      <c r="D54" s="1">
        <v>25</v>
      </c>
      <c r="E54" s="1"/>
      <c r="F54" s="1"/>
      <c r="G54" s="1"/>
      <c r="H54" s="1"/>
      <c r="I54" s="1"/>
      <c r="J54" s="1"/>
      <c r="K54" s="2"/>
      <c r="L54" s="1"/>
      <c r="M54" s="4"/>
      <c r="N54" s="1"/>
      <c r="O54" s="4"/>
      <c r="P54" s="1"/>
      <c r="Q54" s="1"/>
      <c r="R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7"/>
    </row>
    <row r="55" spans="1:38">
      <c r="E55" s="1"/>
      <c r="F55" s="1"/>
      <c r="G55" s="1"/>
      <c r="H55" s="1"/>
      <c r="I55" s="1"/>
      <c r="J55" s="1"/>
      <c r="K55" s="2"/>
      <c r="L55" s="1"/>
      <c r="M55" s="4"/>
      <c r="N55" s="1"/>
      <c r="O55" s="4"/>
      <c r="P55" s="1"/>
      <c r="Q55" s="1"/>
      <c r="R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7"/>
    </row>
    <row r="56" spans="1:38">
      <c r="A56" s="9" t="s">
        <v>68</v>
      </c>
      <c r="B56" s="10" t="s">
        <v>59</v>
      </c>
      <c r="C56" s="10" t="s">
        <v>58</v>
      </c>
      <c r="D56" s="10" t="s">
        <v>62</v>
      </c>
      <c r="E56" s="10" t="s">
        <v>64</v>
      </c>
      <c r="F56" s="10" t="s">
        <v>63</v>
      </c>
      <c r="G56" s="1"/>
      <c r="H56" s="1"/>
      <c r="I56" s="1"/>
      <c r="J56" s="1"/>
      <c r="K56" s="2"/>
      <c r="L56" s="1"/>
      <c r="M56" s="4"/>
      <c r="N56" s="1"/>
      <c r="O56" s="4"/>
      <c r="P56" s="1"/>
      <c r="Q56" s="1"/>
      <c r="R56" s="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7"/>
    </row>
    <row r="57" spans="1:38">
      <c r="A57" s="1">
        <v>0</v>
      </c>
      <c r="B57" s="54">
        <f>$B$54+A57</f>
        <v>2.6669999999999999E-2</v>
      </c>
      <c r="C57" s="1">
        <f t="shared" ref="C57:C63" si="21">($C$54-$D$54)/(((LN(B57/(B57-A57)))/(2*$B$32*$E$32))+(1/($G$32*2*$B$32*B57)))</f>
        <v>187.01140550400001</v>
      </c>
      <c r="D57" s="1">
        <f>3.1416*(2*B57*A57-A57^2)</f>
        <v>0</v>
      </c>
      <c r="E57" s="1">
        <f>D57*5</f>
        <v>0</v>
      </c>
      <c r="F57" s="1">
        <f>0.00015*C57</f>
        <v>2.8051710825599999E-2</v>
      </c>
      <c r="G57" s="1"/>
      <c r="H57" s="1"/>
      <c r="I57" s="1"/>
      <c r="J57" s="1"/>
      <c r="K57" s="2"/>
      <c r="L57" s="1"/>
      <c r="M57" s="4"/>
      <c r="N57" s="1"/>
      <c r="O57" s="4"/>
      <c r="P57" s="1"/>
      <c r="Q57" s="1"/>
      <c r="R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7"/>
    </row>
    <row r="58" spans="1:38">
      <c r="A58" s="1">
        <v>5.0000000000000001E-3</v>
      </c>
      <c r="B58" s="54">
        <f t="shared" ref="B58:B63" si="22">$B$54+A58</f>
        <v>3.1669999999999997E-2</v>
      </c>
      <c r="C58" s="1">
        <f t="shared" si="21"/>
        <v>71.485408255111096</v>
      </c>
      <c r="D58" s="1">
        <f t="shared" ref="D58:D63" si="23">3.1416*(2*B58*A58-A58^2)</f>
        <v>9.1640471999999995E-4</v>
      </c>
      <c r="E58" s="1">
        <f t="shared" ref="E58:E63" si="24">D58*5</f>
        <v>4.5820235999999995E-3</v>
      </c>
      <c r="F58" s="1">
        <f t="shared" ref="F58:F63" si="25">0.00015*C58</f>
        <v>1.0722811238266664E-2</v>
      </c>
      <c r="G58" s="1"/>
      <c r="H58" s="1"/>
      <c r="I58" s="1"/>
      <c r="J58" s="1"/>
      <c r="K58" s="2"/>
      <c r="L58" s="1"/>
      <c r="M58" s="4"/>
      <c r="N58" s="1"/>
      <c r="O58" s="4"/>
      <c r="P58" s="1"/>
      <c r="Q58" s="1"/>
      <c r="R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7"/>
    </row>
    <row r="59" spans="1:38">
      <c r="A59" s="1">
        <v>0.01</v>
      </c>
      <c r="B59" s="54">
        <f t="shared" si="22"/>
        <v>3.6670000000000001E-2</v>
      </c>
      <c r="C59" s="1">
        <f t="shared" si="21"/>
        <v>46.582582307554219</v>
      </c>
      <c r="D59" s="1">
        <f t="shared" si="23"/>
        <v>1.9898894399999999E-3</v>
      </c>
      <c r="E59" s="1">
        <f t="shared" si="24"/>
        <v>9.9494471999999994E-3</v>
      </c>
      <c r="F59" s="1">
        <f t="shared" si="25"/>
        <v>6.987387346133132E-3</v>
      </c>
      <c r="G59" s="1"/>
      <c r="H59" s="1"/>
      <c r="I59" s="1"/>
      <c r="J59" s="1"/>
      <c r="K59" s="2"/>
      <c r="L59" s="1"/>
      <c r="M59" s="4"/>
      <c r="N59" s="1"/>
      <c r="O59" s="4"/>
      <c r="P59" s="1"/>
      <c r="Q59" s="1"/>
      <c r="R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7"/>
    </row>
    <row r="60" spans="1:38">
      <c r="A60" s="1">
        <v>1.4999999999999999E-2</v>
      </c>
      <c r="B60" s="54">
        <f t="shared" si="22"/>
        <v>4.1669999999999999E-2</v>
      </c>
      <c r="C60" s="1">
        <f t="shared" si="21"/>
        <v>35.641758348861508</v>
      </c>
      <c r="D60" s="1">
        <f t="shared" si="23"/>
        <v>3.2204541599999996E-3</v>
      </c>
      <c r="E60" s="1">
        <f t="shared" si="24"/>
        <v>1.6102270799999999E-2</v>
      </c>
      <c r="F60" s="1">
        <f t="shared" si="25"/>
        <v>5.3462637523292254E-3</v>
      </c>
      <c r="G60" s="1"/>
      <c r="H60" s="1"/>
      <c r="I60" s="1"/>
      <c r="J60" s="1"/>
      <c r="K60" s="2"/>
      <c r="L60" s="1"/>
      <c r="M60" s="4"/>
      <c r="N60" s="1"/>
      <c r="O60" s="4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7"/>
    </row>
    <row r="61" spans="1:38">
      <c r="A61" s="1">
        <v>0.02</v>
      </c>
      <c r="B61" s="54">
        <f t="shared" si="22"/>
        <v>4.6670000000000003E-2</v>
      </c>
      <c r="C61" s="1">
        <f t="shared" si="21"/>
        <v>29.458467426723594</v>
      </c>
      <c r="D61" s="1">
        <f t="shared" si="23"/>
        <v>4.6080988800000005E-3</v>
      </c>
      <c r="E61" s="1">
        <f t="shared" si="24"/>
        <v>2.3040494400000004E-2</v>
      </c>
      <c r="F61" s="1">
        <f t="shared" si="25"/>
        <v>4.4187701140085385E-3</v>
      </c>
      <c r="G61" s="1"/>
      <c r="H61" s="1"/>
      <c r="I61" s="1"/>
      <c r="J61" s="1"/>
      <c r="K61" s="2"/>
      <c r="L61" s="1"/>
      <c r="M61" s="4"/>
      <c r="N61" s="1"/>
      <c r="O61" s="4"/>
      <c r="P61" s="1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7"/>
    </row>
    <row r="62" spans="1:38">
      <c r="A62" s="1">
        <v>2.5000000000000001E-2</v>
      </c>
      <c r="B62" s="54">
        <f t="shared" si="22"/>
        <v>5.1670000000000001E-2</v>
      </c>
      <c r="C62" s="1">
        <f t="shared" si="21"/>
        <v>25.46545754169993</v>
      </c>
      <c r="D62" s="1">
        <f t="shared" si="23"/>
        <v>6.1528236000000002E-3</v>
      </c>
      <c r="E62" s="1">
        <f t="shared" si="24"/>
        <v>3.0764118E-2</v>
      </c>
      <c r="F62" s="1">
        <f t="shared" si="25"/>
        <v>3.8198186312549893E-3</v>
      </c>
      <c r="G62" s="1"/>
      <c r="H62" s="1"/>
      <c r="I62" s="1"/>
      <c r="J62" s="1"/>
      <c r="K62" s="2"/>
      <c r="L62" s="1"/>
      <c r="M62" s="4"/>
      <c r="N62" s="1"/>
      <c r="O62" s="4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7"/>
    </row>
    <row r="63" spans="1:38">
      <c r="A63" s="1">
        <v>8.0000000000000002E-3</v>
      </c>
      <c r="B63" s="54">
        <f t="shared" si="22"/>
        <v>3.4669999999999999E-2</v>
      </c>
      <c r="C63" s="1">
        <f t="shared" si="21"/>
        <v>53.776460457959963</v>
      </c>
      <c r="D63" s="1">
        <f t="shared" si="23"/>
        <v>1.5416459519999998E-3</v>
      </c>
      <c r="E63" s="1">
        <f t="shared" si="24"/>
        <v>7.7082297599999992E-3</v>
      </c>
      <c r="F63" s="1">
        <f t="shared" si="25"/>
        <v>8.0664690686939947E-3</v>
      </c>
      <c r="G63" s="1"/>
      <c r="H63" s="1"/>
      <c r="I63" s="1"/>
      <c r="J63" s="1"/>
      <c r="K63" s="2"/>
      <c r="L63" s="1"/>
      <c r="M63" s="4"/>
      <c r="N63" s="1"/>
      <c r="O63" s="4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7"/>
    </row>
    <row r="64" spans="1:38">
      <c r="A64" s="2"/>
      <c r="B64" s="2"/>
      <c r="C64" s="2"/>
      <c r="D64" s="2"/>
      <c r="E64" s="1"/>
      <c r="F64" s="2"/>
      <c r="G64" s="1"/>
      <c r="H64" s="1"/>
      <c r="I64" s="1"/>
      <c r="J64" s="2"/>
      <c r="K64" s="2"/>
      <c r="L64" s="1"/>
      <c r="M64" s="4"/>
      <c r="N64" s="1"/>
      <c r="O64" s="4"/>
      <c r="P64" s="1"/>
      <c r="Q64" s="1"/>
      <c r="R64" s="2"/>
      <c r="S64" s="2"/>
      <c r="T64" s="1"/>
      <c r="U64" s="1"/>
      <c r="V64" s="2"/>
      <c r="W64" s="2"/>
      <c r="X64" s="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7"/>
    </row>
    <row r="65" spans="1:38">
      <c r="A65" s="2"/>
      <c r="B65" s="2"/>
      <c r="C65" s="2"/>
      <c r="D65" s="2"/>
      <c r="E65" s="1"/>
      <c r="F65" s="2"/>
      <c r="G65" s="1"/>
      <c r="H65" s="1"/>
      <c r="I65" s="1"/>
      <c r="J65" s="2"/>
      <c r="K65" s="2"/>
      <c r="L65" s="1"/>
      <c r="M65" s="4"/>
      <c r="N65" s="1"/>
      <c r="O65" s="4"/>
      <c r="P65" s="1"/>
      <c r="Q65" s="1"/>
      <c r="R65" s="2"/>
      <c r="S65" s="2"/>
      <c r="T65" s="1"/>
      <c r="U65" s="1"/>
      <c r="V65" s="2"/>
      <c r="W65" s="2"/>
      <c r="X65" s="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7"/>
    </row>
    <row r="66" spans="1:38">
      <c r="A66" s="2"/>
      <c r="B66" s="2"/>
      <c r="C66" s="2"/>
      <c r="D66" s="2"/>
      <c r="E66" s="1"/>
      <c r="F66" s="2"/>
      <c r="G66" s="1"/>
      <c r="H66" s="1"/>
      <c r="I66" s="1"/>
      <c r="J66" s="2"/>
      <c r="K66" s="2"/>
      <c r="L66" s="1"/>
      <c r="M66" s="4"/>
      <c r="N66" s="1"/>
      <c r="O66" s="4"/>
      <c r="P66" s="1"/>
      <c r="Q66" s="1"/>
      <c r="R66" s="2"/>
      <c r="S66" s="2"/>
      <c r="T66" s="1"/>
      <c r="U66" s="1"/>
      <c r="V66" s="2"/>
      <c r="W66" s="2"/>
      <c r="X66" s="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7"/>
    </row>
    <row r="67" spans="1:38">
      <c r="A67" s="2"/>
      <c r="B67" s="2"/>
      <c r="C67" s="2"/>
      <c r="D67" s="2"/>
      <c r="E67" s="1"/>
      <c r="F67" s="2"/>
      <c r="G67" s="1"/>
      <c r="H67" s="1"/>
      <c r="I67" s="1"/>
      <c r="J67" s="2"/>
      <c r="K67" s="2"/>
      <c r="L67" s="1"/>
      <c r="M67" s="4"/>
      <c r="N67" s="1"/>
      <c r="O67" s="4"/>
      <c r="P67" s="1"/>
      <c r="Q67" s="1"/>
      <c r="R67" s="2"/>
      <c r="S67" s="2"/>
      <c r="T67" s="1"/>
      <c r="U67" s="1"/>
      <c r="V67" s="2"/>
      <c r="W67" s="2"/>
      <c r="X67" s="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7"/>
    </row>
    <row r="68" spans="1:38">
      <c r="A68" s="9"/>
      <c r="B68" s="9"/>
      <c r="C68" s="10"/>
      <c r="D68" s="10"/>
      <c r="E68" s="1"/>
      <c r="F68" s="2"/>
      <c r="G68" s="1"/>
      <c r="H68" s="1"/>
      <c r="I68" s="1"/>
      <c r="J68" s="2"/>
      <c r="K68" s="2"/>
      <c r="L68" s="1"/>
      <c r="M68" s="4"/>
      <c r="N68" s="1"/>
      <c r="O68" s="4"/>
      <c r="P68" s="1"/>
      <c r="Q68" s="1"/>
      <c r="R68" s="2"/>
      <c r="S68" s="2"/>
      <c r="T68" s="1"/>
      <c r="U68" s="1"/>
      <c r="V68" s="2"/>
      <c r="W68" s="2"/>
      <c r="X68" s="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7"/>
    </row>
    <row r="69" spans="1:38">
      <c r="A69" s="2"/>
      <c r="B69" s="28"/>
      <c r="C69" s="1"/>
      <c r="D69" s="1"/>
      <c r="E69" s="1"/>
      <c r="F69" s="2"/>
      <c r="G69" s="1"/>
      <c r="H69" s="1"/>
      <c r="I69" s="1"/>
      <c r="J69" s="2"/>
      <c r="K69" s="2"/>
      <c r="L69" s="1"/>
      <c r="M69" s="4"/>
      <c r="N69" s="1"/>
      <c r="O69" s="4"/>
      <c r="P69" s="1"/>
      <c r="Q69" s="1"/>
      <c r="R69" s="2"/>
      <c r="S69" s="2"/>
      <c r="T69" s="1"/>
      <c r="U69" s="1"/>
      <c r="V69" s="2"/>
      <c r="W69" s="2"/>
      <c r="X69" s="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7"/>
    </row>
    <row r="70" spans="1:38">
      <c r="E70" s="1"/>
      <c r="F70" s="2"/>
      <c r="G70" s="1"/>
      <c r="H70" s="1"/>
      <c r="I70" s="1"/>
      <c r="J70" s="2"/>
      <c r="K70" s="2"/>
      <c r="L70" s="1"/>
      <c r="M70" s="4"/>
      <c r="N70" s="1"/>
      <c r="O70" s="4"/>
      <c r="P70" s="1"/>
      <c r="Q70" s="1"/>
      <c r="R70" s="2"/>
      <c r="S70" s="2"/>
      <c r="T70" s="1"/>
      <c r="U70" s="1"/>
      <c r="V70" s="2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7"/>
    </row>
    <row r="71" spans="1:38">
      <c r="A71" s="2"/>
      <c r="B71" s="1"/>
      <c r="C71" s="1"/>
      <c r="D71" s="1"/>
      <c r="E71" s="1"/>
      <c r="F71" s="1"/>
      <c r="G71" s="1"/>
      <c r="H71" s="1"/>
      <c r="I71" s="1"/>
      <c r="J71" s="2"/>
      <c r="K71" s="2"/>
      <c r="L71" s="1"/>
      <c r="M71" s="4"/>
      <c r="N71" s="1"/>
      <c r="O71" s="4"/>
      <c r="P71" s="1"/>
      <c r="Q71" s="1"/>
      <c r="R71" s="2"/>
      <c r="S71" s="2"/>
      <c r="T71" s="1"/>
      <c r="U71" s="1"/>
      <c r="V71" s="2"/>
      <c r="W71" s="2"/>
      <c r="X71" s="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7"/>
    </row>
    <row r="72" spans="1:38">
      <c r="A72" s="2"/>
      <c r="B72" s="28"/>
      <c r="C72" s="2"/>
      <c r="D72" s="2"/>
      <c r="E72" s="1"/>
      <c r="F72" s="2"/>
      <c r="G72" s="1"/>
      <c r="H72" s="1"/>
      <c r="I72" s="1"/>
      <c r="J72" s="2"/>
      <c r="K72" s="2"/>
      <c r="L72" s="1"/>
      <c r="M72" s="4"/>
      <c r="N72" s="1"/>
      <c r="O72" s="4"/>
      <c r="P72" s="1"/>
      <c r="Q72" s="1"/>
      <c r="R72" s="2"/>
      <c r="S72" s="2"/>
      <c r="T72" s="1"/>
      <c r="U72" s="1"/>
      <c r="V72" s="2"/>
      <c r="W72" s="2"/>
      <c r="X72" s="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7"/>
    </row>
    <row r="73" spans="1:38">
      <c r="A73" s="2"/>
      <c r="B73" s="2"/>
      <c r="C73" s="2"/>
      <c r="D73" s="2"/>
      <c r="E73" s="1"/>
      <c r="F73" s="2"/>
      <c r="G73" s="1"/>
      <c r="H73" s="1"/>
      <c r="I73" s="1"/>
      <c r="J73" s="2"/>
      <c r="K73" s="2"/>
      <c r="L73" s="1"/>
      <c r="M73" s="4"/>
      <c r="N73" s="1"/>
      <c r="O73" s="4"/>
      <c r="P73" s="1"/>
      <c r="Q73" s="1"/>
      <c r="R73" s="2"/>
      <c r="S73" s="2"/>
      <c r="T73" s="1"/>
      <c r="U73" s="1"/>
      <c r="V73" s="2"/>
      <c r="W73" s="2"/>
      <c r="X73" s="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7"/>
    </row>
    <row r="74" spans="1:38">
      <c r="A74" s="9" t="s">
        <v>57</v>
      </c>
      <c r="B74" s="9" t="s">
        <v>66</v>
      </c>
      <c r="C74" s="10" t="s">
        <v>61</v>
      </c>
      <c r="D74" s="10" t="s">
        <v>60</v>
      </c>
      <c r="E74" s="1"/>
      <c r="F74" s="2"/>
      <c r="G74" s="1"/>
      <c r="H74" s="1"/>
      <c r="I74" s="1"/>
      <c r="J74" s="2"/>
      <c r="K74" s="2"/>
      <c r="L74" s="1"/>
      <c r="M74" s="4"/>
      <c r="N74" s="1"/>
      <c r="O74" s="4"/>
      <c r="P74" s="1"/>
      <c r="Q74" s="1"/>
      <c r="R74" s="2"/>
      <c r="S74" s="2"/>
      <c r="T74" s="1"/>
      <c r="U74" s="1"/>
      <c r="V74" s="2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7"/>
    </row>
    <row r="75" spans="1:38">
      <c r="A75" s="2" t="s">
        <v>34</v>
      </c>
      <c r="B75" s="2">
        <f>O13/100</f>
        <v>4.1260000000000005E-2</v>
      </c>
      <c r="C75" s="1">
        <v>130</v>
      </c>
      <c r="D75" s="1">
        <v>25</v>
      </c>
      <c r="E75" s="1"/>
      <c r="F75" s="2"/>
      <c r="G75" s="1"/>
      <c r="H75" s="1"/>
      <c r="I75" s="1"/>
      <c r="J75" s="2"/>
      <c r="K75" s="2"/>
      <c r="L75" s="1"/>
      <c r="M75" s="4"/>
      <c r="N75" s="1"/>
      <c r="O75" s="4"/>
      <c r="P75" s="1"/>
      <c r="Q75" s="1"/>
      <c r="R75" s="2"/>
      <c r="S75" s="2"/>
      <c r="T75" s="1"/>
      <c r="U75" s="1"/>
      <c r="V75" s="2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7"/>
    </row>
    <row r="76" spans="1:38">
      <c r="A76" s="2"/>
      <c r="B76" s="2"/>
      <c r="C76" s="1"/>
      <c r="D76" s="1"/>
      <c r="E76" s="1"/>
      <c r="F76" s="2"/>
      <c r="G76" s="1"/>
      <c r="H76" s="1"/>
      <c r="I76" s="1"/>
      <c r="J76" s="2"/>
      <c r="K76" s="2"/>
      <c r="L76" s="1"/>
      <c r="M76" s="4"/>
      <c r="N76" s="1"/>
      <c r="O76" s="4"/>
      <c r="P76" s="1"/>
      <c r="Q76" s="1"/>
      <c r="R76" s="2"/>
      <c r="S76" s="2"/>
      <c r="T76" s="1"/>
      <c r="U76" s="1"/>
      <c r="V76" s="2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7"/>
    </row>
    <row r="77" spans="1:38">
      <c r="A77" s="9" t="s">
        <v>68</v>
      </c>
      <c r="B77" s="10" t="s">
        <v>59</v>
      </c>
      <c r="C77" s="10" t="s">
        <v>58</v>
      </c>
      <c r="D77" s="10" t="s">
        <v>62</v>
      </c>
      <c r="E77" s="10" t="s">
        <v>64</v>
      </c>
      <c r="F77" s="10" t="s">
        <v>63</v>
      </c>
      <c r="G77" s="1"/>
      <c r="H77" s="1"/>
      <c r="I77" s="1"/>
      <c r="J77" s="2"/>
      <c r="K77" s="2"/>
      <c r="L77" s="1"/>
      <c r="M77" s="4"/>
      <c r="N77" s="1"/>
      <c r="O77" s="4"/>
      <c r="P77" s="1"/>
      <c r="Q77" s="1"/>
      <c r="R77" s="2"/>
      <c r="S77" s="2"/>
      <c r="T77" s="1"/>
      <c r="U77" s="1"/>
      <c r="V77" s="2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7"/>
    </row>
    <row r="78" spans="1:38">
      <c r="A78" s="1">
        <v>0</v>
      </c>
      <c r="B78" s="54">
        <f>$B$75+A78</f>
        <v>4.1260000000000005E-2</v>
      </c>
      <c r="C78" s="1">
        <f t="shared" ref="C78:C84" si="26">($C$75-$D$75)/(((LN(B78/(B78-A78)))/(2*$B$32*$E$32))+(1/($G$32*2*$B$32*B78)))</f>
        <v>326.64848832000001</v>
      </c>
      <c r="D78" s="1">
        <f>3.1416*(2*B78*A78-A78^2)</f>
        <v>0</v>
      </c>
      <c r="E78" s="1">
        <f>D78*5</f>
        <v>0</v>
      </c>
      <c r="F78" s="1">
        <f>0.00015*C78</f>
        <v>4.8997273247999996E-2</v>
      </c>
      <c r="G78" s="1"/>
      <c r="H78" s="1"/>
      <c r="I78" s="1"/>
      <c r="J78" s="2"/>
      <c r="K78" s="2"/>
      <c r="L78" s="1"/>
      <c r="M78" s="4"/>
      <c r="N78" s="1"/>
      <c r="O78" s="4"/>
      <c r="P78" s="1"/>
      <c r="Q78" s="1"/>
      <c r="R78" s="2"/>
      <c r="S78" s="2"/>
      <c r="T78" s="1"/>
      <c r="U78" s="1"/>
      <c r="V78" s="2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7"/>
    </row>
    <row r="79" spans="1:38">
      <c r="A79" s="1">
        <v>5.0000000000000001E-3</v>
      </c>
      <c r="B79" s="54">
        <f t="shared" ref="B79:B84" si="27">$B$75+A79</f>
        <v>4.6260000000000003E-2</v>
      </c>
      <c r="C79" s="1">
        <f t="shared" si="26"/>
        <v>120.14371506317002</v>
      </c>
      <c r="D79" s="1">
        <f t="shared" ref="D79:D84" si="28">3.1416*(2*B79*A79-A79^2)</f>
        <v>1.3747641600000001E-3</v>
      </c>
      <c r="E79" s="1">
        <f t="shared" ref="E79:E84" si="29">D79*5</f>
        <v>6.8738208000000004E-3</v>
      </c>
      <c r="F79" s="1">
        <f t="shared" ref="F79:F84" si="30">0.00015*C79</f>
        <v>1.8021557259475501E-2</v>
      </c>
      <c r="G79" s="1"/>
      <c r="H79" s="1"/>
      <c r="I79" s="1"/>
      <c r="J79" s="2"/>
      <c r="K79" s="2"/>
      <c r="L79" s="1"/>
      <c r="M79" s="4"/>
      <c r="N79" s="1"/>
      <c r="O79" s="4"/>
      <c r="P79" s="1"/>
      <c r="Q79" s="1"/>
      <c r="R79" s="2"/>
      <c r="S79" s="2"/>
      <c r="T79" s="1"/>
      <c r="U79" s="1"/>
      <c r="V79" s="2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7"/>
    </row>
    <row r="80" spans="1:38">
      <c r="A80" s="1">
        <v>0.01</v>
      </c>
      <c r="B80" s="54">
        <f t="shared" si="27"/>
        <v>5.1260000000000007E-2</v>
      </c>
      <c r="C80" s="1">
        <f t="shared" si="26"/>
        <v>76.480008085960861</v>
      </c>
      <c r="D80" s="1">
        <f t="shared" si="28"/>
        <v>2.9066083200000007E-3</v>
      </c>
      <c r="E80" s="1">
        <f t="shared" si="29"/>
        <v>1.4533041600000003E-2</v>
      </c>
      <c r="F80" s="1">
        <f t="shared" si="30"/>
        <v>1.1472001212894128E-2</v>
      </c>
      <c r="G80" s="1"/>
      <c r="H80" s="1"/>
      <c r="I80" s="1"/>
      <c r="J80" s="2"/>
      <c r="K80" s="2"/>
      <c r="L80" s="1"/>
      <c r="M80" s="4"/>
      <c r="N80" s="1"/>
      <c r="O80" s="4"/>
      <c r="P80" s="1"/>
      <c r="Q80" s="1"/>
      <c r="R80" s="2"/>
      <c r="S80" s="2"/>
      <c r="T80" s="1"/>
      <c r="U80" s="1"/>
      <c r="V80" s="2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7"/>
    </row>
    <row r="81" spans="1:13">
      <c r="A81" s="1">
        <v>1.4999999999999999E-2</v>
      </c>
      <c r="B81" s="54">
        <f t="shared" si="27"/>
        <v>5.6260000000000004E-2</v>
      </c>
      <c r="C81" s="1">
        <f t="shared" si="26"/>
        <v>57.447621000966812</v>
      </c>
      <c r="D81" s="1">
        <f t="shared" si="28"/>
        <v>4.5955324800000009E-3</v>
      </c>
      <c r="E81" s="1">
        <f t="shared" si="29"/>
        <v>2.2977662400000005E-2</v>
      </c>
      <c r="F81" s="1">
        <f t="shared" si="30"/>
        <v>8.6171431501450204E-3</v>
      </c>
    </row>
    <row r="82" spans="1:13">
      <c r="A82" s="1">
        <v>0.02</v>
      </c>
      <c r="B82" s="54">
        <f t="shared" si="27"/>
        <v>6.1260000000000009E-2</v>
      </c>
      <c r="C82" s="1">
        <f t="shared" si="26"/>
        <v>46.757312818610707</v>
      </c>
      <c r="D82" s="1">
        <f t="shared" si="28"/>
        <v>6.4415366400000012E-3</v>
      </c>
      <c r="E82" s="1">
        <f t="shared" si="29"/>
        <v>3.2207683200000004E-2</v>
      </c>
      <c r="F82" s="1">
        <f t="shared" si="30"/>
        <v>7.0135969227916057E-3</v>
      </c>
    </row>
    <row r="83" spans="1:13">
      <c r="A83" s="1">
        <v>2.5000000000000001E-2</v>
      </c>
      <c r="B83" s="54">
        <f t="shared" si="27"/>
        <v>6.6260000000000013E-2</v>
      </c>
      <c r="C83" s="1">
        <f t="shared" si="26"/>
        <v>39.891915968344357</v>
      </c>
      <c r="D83" s="1">
        <f t="shared" si="28"/>
        <v>8.4446208000000019E-3</v>
      </c>
      <c r="E83" s="1">
        <f t="shared" si="29"/>
        <v>4.2223104000000011E-2</v>
      </c>
      <c r="F83" s="1">
        <f t="shared" si="30"/>
        <v>5.9837873952516534E-3</v>
      </c>
    </row>
    <row r="84" spans="1:13">
      <c r="A84" s="1">
        <v>8.9999999999999993E-3</v>
      </c>
      <c r="B84" s="54">
        <f t="shared" si="27"/>
        <v>5.0260000000000006E-2</v>
      </c>
      <c r="C84" s="1">
        <f t="shared" si="26"/>
        <v>82.229788839534208</v>
      </c>
      <c r="D84" s="1">
        <f t="shared" si="28"/>
        <v>2.5876730880000001E-3</v>
      </c>
      <c r="E84" s="1">
        <f t="shared" si="29"/>
        <v>1.293836544E-2</v>
      </c>
      <c r="F84" s="1">
        <f t="shared" si="30"/>
        <v>1.233446832593013E-2</v>
      </c>
    </row>
    <row r="87" spans="1:1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1:13">
      <c r="A88" s="29"/>
      <c r="B88" s="29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1:13">
      <c r="A89" s="29"/>
      <c r="B89" s="29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>
      <c r="A90" s="29"/>
      <c r="B90" s="29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>
      <c r="A91" s="29"/>
      <c r="B91" s="29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1:1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1:1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1:1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1:1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1:1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1:1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1:1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1:1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1:1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</row>
    <row r="107" spans="1:1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1:1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Ríos Ruiz</dc:creator>
  <cp:lastModifiedBy>Ríos</cp:lastModifiedBy>
  <dcterms:created xsi:type="dcterms:W3CDTF">2003-04-21T18:17:19Z</dcterms:created>
  <dcterms:modified xsi:type="dcterms:W3CDTF">2010-03-08T17:03:54Z</dcterms:modified>
</cp:coreProperties>
</file>