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341" yWindow="65476" windowWidth="12120" windowHeight="9120" tabRatio="727" activeTab="4"/>
  </bookViews>
  <sheets>
    <sheet name="Paciente" sheetId="1" r:id="rId1"/>
    <sheet name="1-Reanim" sheetId="2" r:id="rId2"/>
    <sheet name="2-Inf Continua" sheetId="3" r:id="rId3"/>
    <sheet name="3-Otros " sheetId="4" r:id="rId4"/>
    <sheet name="4-Antibiots" sheetId="5" r:id="rId5"/>
  </sheets>
  <definedNames>
    <definedName name="_xlnm.Print_Area" localSheetId="1">'1-Reanim'!$A$1:$S$46</definedName>
    <definedName name="_xlnm.Print_Area" localSheetId="2">'2-Inf Continua'!$A$1:$Q$54</definedName>
    <definedName name="_xlnm.Print_Area" localSheetId="3">'3-Otros '!$A$1:$V$84</definedName>
    <definedName name="_xlnm.Print_Area" localSheetId="4">'4-Antibiots'!$A$1:$V$62</definedName>
    <definedName name="_xlnm.Print_Area" localSheetId="0">'Paciente'!$A$1:$R$77</definedName>
    <definedName name="Z_0995FA88_D33B_4FB7_B656_4414E45C2DD1_.wvu.PrintArea" localSheetId="1" hidden="1">'1-Reanim'!$A$1:$S$46</definedName>
    <definedName name="Z_0995FA88_D33B_4FB7_B656_4414E45C2DD1_.wvu.PrintArea" localSheetId="2" hidden="1">'2-Inf Continua'!$A$1:$Q$53</definedName>
    <definedName name="Z_0995FA88_D33B_4FB7_B656_4414E45C2DD1_.wvu.PrintArea" localSheetId="3" hidden="1">'3-Otros '!$A$1:$V$84</definedName>
    <definedName name="Z_0995FA88_D33B_4FB7_B656_4414E45C2DD1_.wvu.PrintArea" localSheetId="4" hidden="1">'4-Antibiots'!$A$1:$V$62</definedName>
  </definedNames>
  <calcPr fullCalcOnLoad="1"/>
</workbook>
</file>

<file path=xl/comments1.xml><?xml version="1.0" encoding="utf-8"?>
<comments xmlns="http://schemas.openxmlformats.org/spreadsheetml/2006/main">
  <authors>
    <author>J Albert Balaguer S.</author>
  </authors>
  <commentList>
    <comment ref="C77" authorId="0">
      <text>
        <r>
          <rPr>
            <b/>
            <sz val="9"/>
            <rFont val="Geneva"/>
            <family val="0"/>
          </rPr>
          <t xml:space="preserve">                                       </t>
        </r>
        <r>
          <rPr>
            <b/>
            <sz val="12"/>
            <color indexed="18"/>
            <rFont val="Geneva"/>
            <family val="0"/>
          </rPr>
          <t>Neodosis 04</t>
        </r>
        <r>
          <rPr>
            <sz val="11"/>
            <rFont val="Times New Roman"/>
            <family val="0"/>
          </rPr>
          <t xml:space="preserve">
 </t>
        </r>
        <r>
          <rPr>
            <sz val="11"/>
            <color indexed="18"/>
            <rFont val="Times New Roman"/>
            <family val="1"/>
          </rPr>
          <t xml:space="preserve">Última revisión: 04/2004
 Si tienes sugerencias o descubres algún error, por favor, comunícalo.
 Muchas gracias
© Albert Balaguer 
                        abalaguer@grupsagessa.com
                        albert_balaguer@yahoo.com
</t>
        </r>
        <r>
          <rPr>
            <sz val="9"/>
            <rFont val="Geneva"/>
            <family val="0"/>
          </rPr>
          <t xml:space="preserve">
</t>
        </r>
        <r>
          <rPr>
            <sz val="9"/>
            <color indexed="12"/>
            <rFont val="Geneva"/>
            <family val="0"/>
          </rPr>
          <t xml:space="preserve">              Universitat Rovira i Virgili Reus-Tarragona    </t>
        </r>
      </text>
    </comment>
  </commentList>
</comments>
</file>

<file path=xl/comments2.xml><?xml version="1.0" encoding="utf-8"?>
<comments xmlns="http://schemas.openxmlformats.org/spreadsheetml/2006/main">
  <authors>
    <author>J Albert Balaguer S.</author>
  </authors>
  <commentList>
    <comment ref="B1" authorId="0">
      <text>
        <r>
          <rPr>
            <b/>
            <sz val="9"/>
            <rFont val="Geneva"/>
            <family val="0"/>
          </rPr>
          <t xml:space="preserve">     </t>
        </r>
        <r>
          <rPr>
            <b/>
            <sz val="10"/>
            <rFont val="Geneva"/>
            <family val="0"/>
          </rPr>
          <t xml:space="preserve">    Neodosis                         </t>
        </r>
        <r>
          <rPr>
            <sz val="11"/>
            <rFont val="Times New Roman"/>
            <family val="0"/>
          </rPr>
          <t>Última revisión: 6/2004
Si tienes comentarios, sugerencias o localizas algún error, te agradeceré que me lo comuniques.
¡Muchas gracias!
© J Albert Balaguer Santamaria.
abalaguer@grupsagessa.com
albert_balaguer@yahoo.es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<sst xmlns="http://schemas.openxmlformats.org/spreadsheetml/2006/main" count="609" uniqueCount="422">
  <si>
    <r>
      <t>Neodosis 04'.</t>
    </r>
    <r>
      <rPr>
        <sz val="12"/>
        <color indexed="32"/>
        <rFont val="Arial"/>
        <family val="0"/>
      </rPr>
      <t xml:space="preserve"> </t>
    </r>
    <r>
      <rPr>
        <sz val="11"/>
        <color indexed="32"/>
        <rFont val="Arial"/>
        <family val="0"/>
      </rPr>
      <t>Calculador de dosis y procedimientos  neonatales</t>
    </r>
  </si>
  <si>
    <t xml:space="preserve">  pasar lento en +/- 2 hr (ver dilución en SG. para NN )</t>
  </si>
  <si>
    <t xml:space="preserve"> Ojo IR.  pasar lento en 2-6 hr (ver dilución en SG. para NN )</t>
  </si>
  <si>
    <r>
      <t xml:space="preserve">  Observaciones      </t>
    </r>
    <r>
      <rPr>
        <sz val="8"/>
        <rFont val="Arial"/>
        <family val="2"/>
      </rPr>
      <t>(leer insrucciones. No diluir en SF)</t>
    </r>
  </si>
  <si>
    <t>para genta  PM= (N3)       &lt;30 =1     30-34 = 2      &gt;34= 3</t>
  </si>
  <si>
    <t>para genta días:  (N1)      &lt; 8 =1    8-15 =2       15 - 28 = 3     &gt;28 =4</t>
  </si>
  <si>
    <t>Intubación traqueal</t>
  </si>
  <si>
    <t>Diámetro Tubo</t>
  </si>
  <si>
    <t>R</t>
  </si>
  <si>
    <t>R-</t>
  </si>
  <si>
    <t>R+</t>
  </si>
  <si>
    <t>M</t>
  </si>
  <si>
    <t>Complejo liposomal</t>
  </si>
  <si>
    <t>Pc10</t>
  </si>
  <si>
    <t>Pc90</t>
  </si>
  <si>
    <t xml:space="preserve">inicio: 0.25 mg/kg/hr   en 1er día </t>
  </si>
  <si>
    <t>Claves</t>
  </si>
  <si>
    <t xml:space="preserve">   (semanas gestacionales desde FUR)   </t>
  </si>
  <si>
    <t xml:space="preserve">   (SG.)   </t>
  </si>
  <si>
    <t>:</t>
  </si>
  <si>
    <t>claves</t>
  </si>
  <si>
    <t>Adr.: 1 ml + 9 ml SF =&gt; 0.1 mg/ ml</t>
  </si>
  <si>
    <t>0.01 - 0.1 UI/Kg/hr</t>
  </si>
  <si>
    <t>0.1 ml/hr = 10 mcg/kg/hr</t>
  </si>
  <si>
    <t xml:space="preserve"> Diluyente</t>
  </si>
  <si>
    <t xml:space="preserve">Milrinona 1 mg/ml  </t>
  </si>
  <si>
    <t xml:space="preserve"> (Dosis carga: 50 mcg/Kg)</t>
  </si>
  <si>
    <t>Inicio</t>
  </si>
  <si>
    <t>-</t>
  </si>
  <si>
    <t>En meningitis:  dosis x 2</t>
  </si>
  <si>
    <t xml:space="preserve">Precaución: purgar sistema con dilución y esperar unos 20 min a empezar infusión.   Preferible en via exclusiva. </t>
  </si>
  <si>
    <t>DPM</t>
  </si>
  <si>
    <r>
      <t>Adenosina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6 mg/2 ml </t>
    </r>
    <r>
      <rPr>
        <i/>
        <sz val="7"/>
        <rFont val="Arial"/>
        <family val="2"/>
      </rPr>
      <t>[=3000 mcg/ml]</t>
    </r>
    <r>
      <rPr>
        <i/>
        <sz val="6"/>
        <rFont val="Arial"/>
        <family val="2"/>
      </rPr>
      <t xml:space="preserve"> </t>
    </r>
  </si>
  <si>
    <t xml:space="preserve">     (Adenocor)</t>
  </si>
  <si>
    <r>
      <t xml:space="preserve">      (hasta 40 mg/kg  s/a.)</t>
    </r>
    <r>
      <rPr>
        <sz val="7"/>
        <rFont val="Arial"/>
        <family val="2"/>
      </rPr>
      <t xml:space="preserve"> </t>
    </r>
  </si>
  <si>
    <t xml:space="preserve">0.5 mg/Kg ev. lento cada 24 hr.   </t>
  </si>
  <si>
    <t>Atrop.: 1 ml + 4  ml SF   =&gt; 0.2 mg/ml</t>
  </si>
  <si>
    <t xml:space="preserve">    100 - 200 mg/Kg  (en 10-30 min)</t>
  </si>
  <si>
    <t xml:space="preserve">    35 - 70 mg/Kg  (en 10-30 min)</t>
  </si>
  <si>
    <r>
      <t xml:space="preserve">     Inicio: 2.5 ml/kg  (1ª dosis en 2 alícuotas)</t>
    </r>
    <r>
      <rPr>
        <sz val="8"/>
        <rFont val="Arial"/>
        <family val="2"/>
      </rPr>
      <t xml:space="preserve">   •Repetible (a 1.25 ml/kg) una ó 2 veces más /12 hr</t>
    </r>
  </si>
  <si>
    <t>Farmacos reanimación y afines</t>
  </si>
  <si>
    <t>MLR</t>
  </si>
  <si>
    <t xml:space="preserve">DDT:  </t>
  </si>
  <si>
    <t xml:space="preserve"> Digitalización endovenosa</t>
  </si>
  <si>
    <t>Preparación de dilución</t>
  </si>
  <si>
    <t>(Dosis de Digitalización Total)</t>
  </si>
  <si>
    <t xml:space="preserve"> (cm. a introducir)</t>
  </si>
  <si>
    <r>
      <t>Mantenimiento:</t>
    </r>
    <r>
      <rPr>
        <sz val="8"/>
        <rFont val="Arial"/>
        <family val="0"/>
      </rPr>
      <t xml:space="preserve"> 1/8 DDT  cada 12 hr</t>
    </r>
  </si>
  <si>
    <t>5 mg/kg/ 24 hr</t>
  </si>
  <si>
    <t>100 - 200 mg/kg  de glucosa  (lento)</t>
  </si>
  <si>
    <t>2 ml + 3 ml SF (ojo: no en SG) =&gt; 20 mg/ml</t>
  </si>
  <si>
    <r>
      <t xml:space="preserve">50 -150 mcg/kg  </t>
    </r>
    <r>
      <rPr>
        <sz val="7"/>
        <rFont val="Arial"/>
        <family val="2"/>
      </rPr>
      <t xml:space="preserve"> [=0.05 - 0.15 mg/Kg] </t>
    </r>
    <r>
      <rPr>
        <sz val="8"/>
        <rFont val="Arial"/>
        <family val="0"/>
      </rPr>
      <t xml:space="preserve"> lento</t>
    </r>
  </si>
  <si>
    <t>Farmacos Intubación y afines</t>
  </si>
  <si>
    <t>0.1 ml/hr = 0.05 mcg/kg/min</t>
  </si>
  <si>
    <t>2 mg/kg</t>
  </si>
  <si>
    <t>Naloxona 0.4 mg/ml</t>
  </si>
  <si>
    <t xml:space="preserve">75 mg/kg/dosis </t>
  </si>
  <si>
    <t>Ticarcilina</t>
  </si>
  <si>
    <t>Bic.: 5 ml + 5 ml H2O  =&gt;   0.5 mEq/ml</t>
  </si>
  <si>
    <t>Peso:</t>
  </si>
  <si>
    <t>kg</t>
  </si>
  <si>
    <t xml:space="preserve"> Dosis de tanteo inicial según glicemias:</t>
  </si>
  <si>
    <t>1: (&lt;2kg &lt;7d)    2: (&lt;2kg  &gt;=7d)     3: (&gt;=2Kg &lt;7d)     4: (&gt;=2K &gt;=7d)</t>
  </si>
  <si>
    <t>::::::::&gt;</t>
  </si>
  <si>
    <t xml:space="preserve">ml/kg/d    </t>
  </si>
  <si>
    <t>Ranitidina  10 mg/ml</t>
  </si>
  <si>
    <t>0,5 mg/Kg</t>
  </si>
  <si>
    <t xml:space="preserve">Dosificación calculada </t>
  </si>
  <si>
    <t xml:space="preserve">15 mg/kg/dosis </t>
  </si>
  <si>
    <t>Convencional</t>
  </si>
  <si>
    <t>Liposomal</t>
  </si>
  <si>
    <t>ml</t>
  </si>
  <si>
    <t>mg</t>
  </si>
  <si>
    <t>0,1 mg/Kg</t>
  </si>
  <si>
    <t>Fentanilo 0,15 mg/ 3 ml</t>
  </si>
  <si>
    <t>ev</t>
  </si>
  <si>
    <t>Vecur.: 1 ml + 3 ml H2O  =&gt; 0.5 mg/ml</t>
  </si>
  <si>
    <t>Morf.: 0.5 ml + 9.5 ml SF  =&gt; 0.5 mg/ml</t>
  </si>
  <si>
    <r>
      <t xml:space="preserve">1 - 2 mEq/kg  </t>
    </r>
    <r>
      <rPr>
        <sz val="8"/>
        <rFont val="Arial"/>
        <family val="0"/>
      </rPr>
      <t>(lento &gt; 2 -5 min.)</t>
    </r>
  </si>
  <si>
    <t>Fenobarbital 200 mg/ml</t>
  </si>
  <si>
    <t>Fenitoina 250 mg/ 5 ml</t>
  </si>
  <si>
    <t>ISO</t>
  </si>
  <si>
    <t>Calcio Cloruro 10%  27 mg [=1.36 mEq] /ml</t>
  </si>
  <si>
    <r>
      <t xml:space="preserve">     4 ml/kg   (dividir cada dosis en 4 alícuotas) </t>
    </r>
    <r>
      <rPr>
        <sz val="8"/>
        <rFont val="Arial"/>
        <family val="2"/>
      </rPr>
      <t xml:space="preserve">  •Repetible hasta 3 veces más en 1as  48 hr</t>
    </r>
  </si>
  <si>
    <t>Expansor</t>
  </si>
  <si>
    <t>Penicilina G</t>
  </si>
  <si>
    <t>Cloxacilina</t>
  </si>
  <si>
    <t>2.5 - 20 mcg/kg/min</t>
  </si>
  <si>
    <t>5 - 25 mcg/kg/min</t>
  </si>
  <si>
    <t>0.05 - 0.5 mcg/kg/min</t>
  </si>
  <si>
    <t>0.1 - 1  mcg/kg/min</t>
  </si>
  <si>
    <t>0.1 ml/hr = 0.1 mcg/kg/min</t>
  </si>
  <si>
    <t>0.2 ml/hr = 5 mcg/kg/min</t>
  </si>
  <si>
    <t>en SF. ó SG. hasta 25 ml</t>
  </si>
  <si>
    <t>pc 10</t>
  </si>
  <si>
    <t>pc 90</t>
  </si>
  <si>
    <t xml:space="preserve">50 mg/kg/dosis </t>
  </si>
  <si>
    <t>Edad:</t>
  </si>
  <si>
    <t xml:space="preserve">Fecha de nacimiento: </t>
  </si>
  <si>
    <t xml:space="preserve">Peso en Kg.: </t>
  </si>
  <si>
    <t>Ver hoja 2    (2-Inf Continua)</t>
  </si>
  <si>
    <r>
      <t>Carga: 15-20 mg/Kg</t>
    </r>
    <r>
      <rPr>
        <sz val="7"/>
        <rFont val="Arial"/>
        <family val="2"/>
      </rPr>
      <t xml:space="preserve"> (lento: &gt; 30 min)</t>
    </r>
  </si>
  <si>
    <t>ev/IM/SC</t>
  </si>
  <si>
    <t>Atropina 1 mg/ml</t>
  </si>
  <si>
    <t>Dopamina 200 mg/ 10 ml</t>
  </si>
  <si>
    <r>
      <t xml:space="preserve">Vecuronio </t>
    </r>
    <r>
      <rPr>
        <i/>
        <sz val="8"/>
        <rFont val="Arial"/>
        <family val="2"/>
      </rPr>
      <t xml:space="preserve">10 mg pol.+ 5 ml H20 </t>
    </r>
    <r>
      <rPr>
        <i/>
        <sz val="7"/>
        <rFont val="Arial"/>
        <family val="2"/>
      </rPr>
      <t xml:space="preserve">(Norcurom)  </t>
    </r>
    <r>
      <rPr>
        <i/>
        <sz val="9"/>
        <rFont val="Arial"/>
        <family val="2"/>
      </rPr>
      <t xml:space="preserve">  </t>
    </r>
    <r>
      <rPr>
        <sz val="9"/>
        <rFont val="Arial"/>
        <family val="2"/>
      </rPr>
      <t>ev</t>
    </r>
  </si>
  <si>
    <r>
      <t xml:space="preserve">0.1 mg/Kg  ó </t>
    </r>
    <r>
      <rPr>
        <sz val="7"/>
        <rFont val="Arial"/>
        <family val="2"/>
      </rPr>
      <t xml:space="preserve"> (4 mcg/kg/hr  s/a.)</t>
    </r>
  </si>
  <si>
    <t xml:space="preserve">                                  (12,5 mg/ml)</t>
  </si>
  <si>
    <t>ml ----&gt;</t>
  </si>
  <si>
    <t xml:space="preserve">Alprostadil           [=0,5 mg/ml]        </t>
  </si>
  <si>
    <t>0.1 ml/hr = 0.2 mcg/kg/min</t>
  </si>
  <si>
    <t>Metronidazol</t>
  </si>
  <si>
    <t>Pes:</t>
  </si>
  <si>
    <t xml:space="preserve">  Incremento día</t>
  </si>
  <si>
    <r>
      <t>Teofilina</t>
    </r>
    <r>
      <rPr>
        <i/>
        <sz val="8"/>
        <rFont val="Arial"/>
        <family val="0"/>
      </rPr>
      <t xml:space="preserve"> [Aminofilina]  25 mg/ml</t>
    </r>
  </si>
  <si>
    <t>ev/rect</t>
  </si>
  <si>
    <t>0,2 mg/kg</t>
  </si>
  <si>
    <t xml:space="preserve">ml/kg/d </t>
  </si>
  <si>
    <r>
      <t xml:space="preserve">10 - 60 mcg/kg/hr </t>
    </r>
    <r>
      <rPr>
        <sz val="7"/>
        <rFont val="Arial"/>
        <family val="2"/>
      </rPr>
      <t xml:space="preserve"> [=0,16 - 1 mcg/kg/min] </t>
    </r>
    <r>
      <rPr>
        <sz val="8"/>
        <rFont val="Arial"/>
        <family val="2"/>
      </rPr>
      <t xml:space="preserve"> </t>
    </r>
  </si>
  <si>
    <t xml:space="preserve">                       [ l ml = 0.05 mg = 50 mcgr]    </t>
  </si>
  <si>
    <t>10 mg/Kg</t>
  </si>
  <si>
    <r>
      <t xml:space="preserve">Mtº: 2.5 - 8 mg/kg/24 hr </t>
    </r>
    <r>
      <rPr>
        <sz val="7"/>
        <rFont val="Arial"/>
        <family val="0"/>
      </rPr>
      <t xml:space="preserve"> (empezar a las 24 h. de dosis de carga)</t>
    </r>
  </si>
  <si>
    <r>
      <t>0.01- 0.03 mg/kg</t>
    </r>
    <r>
      <rPr>
        <sz val="8"/>
        <rFont val="Arial"/>
        <family val="0"/>
      </rPr>
      <t xml:space="preserve">  (repetible /3-5 min)</t>
    </r>
  </si>
  <si>
    <r>
      <t xml:space="preserve">10 - 20 ml/Kg </t>
    </r>
    <r>
      <rPr>
        <sz val="8"/>
        <rFont val="Arial"/>
        <family val="0"/>
      </rPr>
      <t xml:space="preserve"> (lento &gt; 10 min)</t>
    </r>
  </si>
  <si>
    <t>10 ml/kg</t>
  </si>
  <si>
    <t>ev/ET/IM</t>
  </si>
  <si>
    <r>
      <t xml:space="preserve">Observacions y precauciones. </t>
    </r>
    <r>
      <rPr>
        <b/>
        <i/>
        <sz val="9"/>
        <color indexed="9"/>
        <rFont val="Arial"/>
        <family val="0"/>
      </rPr>
      <t xml:space="preserve">   </t>
    </r>
  </si>
  <si>
    <t>Procedimientos</t>
  </si>
  <si>
    <t xml:space="preserve">En RNPT, IR.  o  I. hepática se espacian las dosis. En meningo-encefalitis = dosis / 6 hr </t>
  </si>
  <si>
    <t>Pasar diluido en ≥1 hr.  Vigilancia gastrointestinal.</t>
  </si>
  <si>
    <t>Cefotaxima</t>
  </si>
  <si>
    <t>Clindamicina</t>
  </si>
  <si>
    <t>1 ml + 1ml diluyente,  =&gt; 0.5 mg/ml</t>
  </si>
  <si>
    <t>0.1 ml/hr = 2.5 mcg/kg/min</t>
  </si>
  <si>
    <t>inicio: 50 mcg/kg   (rápido: 1-2 seg)</t>
  </si>
  <si>
    <t>Tabla Edad Gestacional-Peso</t>
  </si>
  <si>
    <t xml:space="preserve">Lubchenko, et.al. Pediatrics 1963; 32:793-800. </t>
  </si>
  <si>
    <t>Datos para SG &lt;24  y  &gt;42: extrapolados</t>
  </si>
  <si>
    <r>
      <t>25</t>
    </r>
    <r>
      <rPr>
        <sz val="8"/>
        <rFont val="Arial"/>
        <family val="0"/>
      </rPr>
      <t xml:space="preserve">-50 mg/kg/dosis </t>
    </r>
  </si>
  <si>
    <t>Rango dosis recomendada</t>
  </si>
  <si>
    <r>
      <t xml:space="preserve">          </t>
    </r>
    <r>
      <rPr>
        <sz val="9"/>
        <color indexed="16"/>
        <rFont val="Arial"/>
        <family val="2"/>
      </rPr>
      <t>---&gt;  en S Gluc 5% hasta 50 ml</t>
    </r>
  </si>
  <si>
    <t>Doxapram</t>
  </si>
  <si>
    <t xml:space="preserve">    0,25 ml + 9,75 ml SF  =&gt; 2,5 mg/ml</t>
  </si>
  <si>
    <t>Cardiovascular y similares (ev)</t>
  </si>
  <si>
    <t>Apneas (ev)</t>
  </si>
  <si>
    <t>NADR</t>
  </si>
  <si>
    <t>dias</t>
  </si>
  <si>
    <t xml:space="preserve">        Puede repetirse a  5 mg/kg  en c. refractarias</t>
  </si>
  <si>
    <t>Expansores  (pe. SF ó RL)</t>
  </si>
  <si>
    <t>D. Calculada</t>
  </si>
  <si>
    <t xml:space="preserve">Esta hoja es sólo una guia orientativa. Verificar siempre cada dosis. </t>
  </si>
  <si>
    <r>
      <t xml:space="preserve">100 mcg/Kg  </t>
    </r>
    <r>
      <rPr>
        <sz val="8"/>
        <rFont val="Arial"/>
        <family val="0"/>
      </rPr>
      <t>[=0.1 mg/Kg]</t>
    </r>
  </si>
  <si>
    <t xml:space="preserve">Precaución posibles convulsiones. No usar en infecciones de SNC. </t>
  </si>
  <si>
    <t>/ 12 hr</t>
  </si>
  <si>
    <r>
      <t>Neodosis 04</t>
    </r>
    <r>
      <rPr>
        <sz val="24"/>
        <color indexed="32"/>
        <rFont val="Arial"/>
        <family val="0"/>
      </rPr>
      <t xml:space="preserve"> </t>
    </r>
  </si>
  <si>
    <t xml:space="preserve">Noradrenalina 1 mg/ml </t>
  </si>
  <si>
    <t xml:space="preserve">Isoproterenol 0.2 mg/ml </t>
  </si>
  <si>
    <t>Dosis fármaco</t>
  </si>
  <si>
    <t xml:space="preserve">30 mg/kg/dosis </t>
  </si>
  <si>
    <t>(ml)</t>
  </si>
  <si>
    <t>1 ml/hr = 5 mcg/kg/min</t>
  </si>
  <si>
    <t>mcg</t>
  </si>
  <si>
    <t>2 mcg/kg</t>
  </si>
  <si>
    <t>ev/IM/rect</t>
  </si>
  <si>
    <t xml:space="preserve">        Infusión lo más lenta posible (en horas si se puede)</t>
  </si>
  <si>
    <t>Infecc graves si vo. no usable. Pasar diluido en +/- 1 hr. La sal de lactobionato contiene alcohol bencílico</t>
  </si>
  <si>
    <r>
      <t>5</t>
    </r>
    <r>
      <rPr>
        <sz val="8"/>
        <rFont val="Arial"/>
        <family val="0"/>
      </rPr>
      <t xml:space="preserve">-7.5 mg/kg/dosis </t>
    </r>
  </si>
  <si>
    <r>
      <t xml:space="preserve">: 1ª </t>
    </r>
    <r>
      <rPr>
        <sz val="8"/>
        <color indexed="16"/>
        <rFont val="Arial"/>
        <family val="0"/>
      </rPr>
      <t>dosis</t>
    </r>
  </si>
  <si>
    <r>
      <t>Tobramicina</t>
    </r>
    <r>
      <rPr>
        <i/>
        <sz val="10"/>
        <rFont val="Arial"/>
        <family val="0"/>
      </rPr>
      <t xml:space="preserve"> </t>
    </r>
  </si>
  <si>
    <t>Neodosis 04'</t>
  </si>
  <si>
    <t xml:space="preserve">Dosis inicial de carga en 60 min. </t>
  </si>
  <si>
    <t>0.5 - 0.75  mcg/kg/min</t>
  </si>
  <si>
    <t>0.2 ml/hr = 0.5 mcg/kg/min</t>
  </si>
  <si>
    <t>Dosis carga: 75 mcg/Kg (* ojo &lt; 30SG)</t>
  </si>
  <si>
    <t>(*) RNPT &lt; 30 SG:</t>
  </si>
  <si>
    <t>Carga inicial: 0.75 mcg/Kg /min. Durante primeras 3 hr. y seguir a 0.2 mcg/Kg /min.</t>
  </si>
  <si>
    <t>Otros farmacos ev</t>
  </si>
  <si>
    <t xml:space="preserve">Cateter Umbilical Arterial: </t>
  </si>
  <si>
    <t>mgr/Kg/min:</t>
  </si>
  <si>
    <t>Fecha de hoy:</t>
  </si>
  <si>
    <t>0.1 - 0.4 mg/kg</t>
  </si>
  <si>
    <t>Diazepam 10 mg/ 2ml</t>
  </si>
  <si>
    <t xml:space="preserve"> Preparación de dilución</t>
  </si>
  <si>
    <t xml:space="preserve">   Dosis </t>
  </si>
  <si>
    <t>Teof. 1 ml +  4 ml SF =&gt;  5 mg/ml</t>
  </si>
  <si>
    <t>ml*</t>
  </si>
  <si>
    <t>ml* de la dilución previa</t>
  </si>
  <si>
    <t>/ 24 hr</t>
  </si>
  <si>
    <t>Vancomicina</t>
  </si>
  <si>
    <t>Anfotericina B</t>
  </si>
  <si>
    <t>Teicoplanina</t>
  </si>
  <si>
    <t>en SG. ó SF. hasta 50 ml</t>
  </si>
  <si>
    <t xml:space="preserve">Medir niveles (M)     </t>
  </si>
  <si>
    <t>Edad Postmenstrual:</t>
  </si>
  <si>
    <r>
      <t>25</t>
    </r>
    <r>
      <rPr>
        <sz val="8"/>
        <rFont val="Arial Narrow"/>
        <family val="2"/>
      </rPr>
      <t xml:space="preserve">-50.000 UI/kg/dosis </t>
    </r>
  </si>
  <si>
    <t>0.01 - 0.02 mg/Kg (dosi mínima: 0.1 mg)</t>
  </si>
  <si>
    <t xml:space="preserve">                                            [=1000 mcg/ml] </t>
  </si>
  <si>
    <t>1 - 3 mg/Kg</t>
  </si>
  <si>
    <t>Cafeina citrato  20 mg/ml</t>
  </si>
  <si>
    <t>Dosis Digitalización Total (DDT)</t>
  </si>
  <si>
    <t xml:space="preserve">Prevención hemorragia peri-intraventricular </t>
  </si>
  <si>
    <t>Cierre ductus: ………..</t>
  </si>
  <si>
    <t>1ª dosis …...……..….</t>
  </si>
  <si>
    <t>Infusión muy lenta * …………………….</t>
  </si>
  <si>
    <t>Fent.: 1 ml + 9 ml SF   =&gt; 5 mcg/ml</t>
  </si>
  <si>
    <t>Adrenalina 1:1000   1 mg/ml</t>
  </si>
  <si>
    <t>Bicarbonato Sódico 1 mEq /ml</t>
  </si>
  <si>
    <t>Nalox.: sin diluir  =&gt; 0.4 mg/ml</t>
  </si>
  <si>
    <t>SG 10%: sin diluir =&gt;  100 mg/ml</t>
  </si>
  <si>
    <t>0.1 ml/hr = 0.01 UI/kg/hr</t>
  </si>
  <si>
    <t>Survanta</t>
  </si>
  <si>
    <t xml:space="preserve">Curosurf </t>
  </si>
  <si>
    <r>
      <t xml:space="preserve"> </t>
    </r>
    <r>
      <rPr>
        <i/>
        <sz val="10"/>
        <rFont val="Arial"/>
        <family val="0"/>
      </rPr>
      <t>Indometacina</t>
    </r>
    <r>
      <rPr>
        <i/>
        <sz val="9"/>
        <rFont val="Arial"/>
        <family val="0"/>
      </rPr>
      <t xml:space="preserve"> 1 mg polvo</t>
    </r>
  </si>
  <si>
    <t>0.1ml/hr = 0,0625 mg/kg/hr</t>
  </si>
  <si>
    <t>Escasa penetración en SNC.</t>
  </si>
  <si>
    <t xml:space="preserve">   Infundir</t>
  </si>
  <si>
    <t xml:space="preserve">Irritante: infusión lenta +/- 1 hr.  Nefro y ototox. Numerosas incompatibilidades. </t>
  </si>
  <si>
    <r>
      <t>25</t>
    </r>
    <r>
      <rPr>
        <sz val="8"/>
        <rFont val="Arial"/>
        <family val="0"/>
      </rPr>
      <t xml:space="preserve">-40 mg/kg/dosis </t>
    </r>
  </si>
  <si>
    <r>
      <t>50</t>
    </r>
    <r>
      <rPr>
        <sz val="8"/>
        <rFont val="Arial"/>
        <family val="0"/>
      </rPr>
      <t xml:space="preserve">-100 mg/kg/dosis </t>
    </r>
  </si>
  <si>
    <r>
      <t>25</t>
    </r>
    <r>
      <rPr>
        <sz val="8"/>
        <rFont val="Arial"/>
        <family val="0"/>
      </rPr>
      <t xml:space="preserve">-100 mg/kg/dosis </t>
    </r>
  </si>
  <si>
    <r>
      <t>25</t>
    </r>
    <r>
      <rPr>
        <sz val="8"/>
        <rFont val="Arial"/>
        <family val="0"/>
      </rPr>
      <t xml:space="preserve">-33 mg/kg/dosis </t>
    </r>
  </si>
  <si>
    <t>RNTD</t>
  </si>
  <si>
    <t xml:space="preserve"> ojo indeseables</t>
  </si>
  <si>
    <t xml:space="preserve">Nombre Paciente: </t>
  </si>
  <si>
    <t>2,5 ml/kg</t>
  </si>
  <si>
    <t>en SG. ó SF. hasta 25 ml</t>
  </si>
  <si>
    <t xml:space="preserve">      Dosis </t>
  </si>
  <si>
    <t>ml/hr</t>
  </si>
  <si>
    <t>ml/24hr</t>
  </si>
  <si>
    <t>Amikacina</t>
  </si>
  <si>
    <t>Calcio Gluconato 10%   9.3 mg [=0.46 mEq] /ml</t>
  </si>
  <si>
    <t>Valor orientativo para punta de cateter en posición alta</t>
  </si>
  <si>
    <t>Valor orientativo para punta cerca de aurícula derecha</t>
  </si>
  <si>
    <t xml:space="preserve">  Mtº: 10 - 15 mcg/kg/hr </t>
  </si>
  <si>
    <r>
      <t>Midazolam</t>
    </r>
    <r>
      <rPr>
        <i/>
        <sz val="9"/>
        <rFont val="Arial"/>
        <family val="2"/>
      </rPr>
      <t xml:space="preserve">  5 mg/ 5 ml  [= 1 mg/ml]</t>
    </r>
  </si>
  <si>
    <t>Rango de dosis recomendada</t>
  </si>
  <si>
    <t>Vía</t>
  </si>
  <si>
    <r>
      <t xml:space="preserve">Carga: 10 - 20 mg/Kg </t>
    </r>
    <r>
      <rPr>
        <sz val="7"/>
        <rFont val="Arial"/>
        <family val="2"/>
      </rPr>
      <t xml:space="preserve"> (en 10 -15 min.)</t>
    </r>
  </si>
  <si>
    <t xml:space="preserve">     1 ml + 9 ml SF =&gt; 300 mcg/ml</t>
  </si>
  <si>
    <t xml:space="preserve">     1 ml + 9 ml SF  =&gt; 20 mg/ml</t>
  </si>
  <si>
    <t>Cefoxitina</t>
  </si>
  <si>
    <r>
      <t xml:space="preserve">1 - 5 </t>
    </r>
    <r>
      <rPr>
        <sz val="8"/>
        <rFont val="Arial"/>
        <family val="2"/>
      </rPr>
      <t>mcg/kg/hr</t>
    </r>
    <r>
      <rPr>
        <sz val="9"/>
        <rFont val="Arial"/>
        <family val="2"/>
      </rPr>
      <t xml:space="preserve"> </t>
    </r>
  </si>
  <si>
    <t>Inicio a 100 mcg/kg/hr</t>
  </si>
  <si>
    <t xml:space="preserve"> 150-180 =&gt; 0.3 mL/h   ][  120-150 =&gt; 0.2 mL/h</t>
  </si>
  <si>
    <t xml:space="preserve"> &gt; 200 mg/dL =&gt; 0,5 ml/h   ][  180-200 =&gt; 0.4 mL/h</t>
  </si>
  <si>
    <t>Preparación Standard</t>
  </si>
  <si>
    <t xml:space="preserve"> &lt; 120 mg/dL =&gt; Stop </t>
  </si>
  <si>
    <r>
      <t xml:space="preserve">Diluir en SG. </t>
    </r>
    <r>
      <rPr>
        <sz val="7"/>
        <rFont val="Arial"/>
        <family val="2"/>
      </rPr>
      <t>Pase lento bajo monitoriz.</t>
    </r>
  </si>
  <si>
    <t>FNT</t>
  </si>
  <si>
    <t>MRF</t>
  </si>
  <si>
    <t>MDZ</t>
  </si>
  <si>
    <t xml:space="preserve"> Fármaco</t>
  </si>
  <si>
    <t>Inicio a 0.05 - 0.1 mcg/kg/min</t>
  </si>
  <si>
    <t>0.1 ml/hr = 0.01 mcg/kg/min</t>
  </si>
  <si>
    <t>DBT</t>
  </si>
  <si>
    <t>ADR</t>
  </si>
  <si>
    <t>5 - 15 nanog/kg/min</t>
  </si>
  <si>
    <t>0.2 ml/hr = 5 nanog/kg/min</t>
  </si>
  <si>
    <r>
      <t xml:space="preserve">Prostaglandina PGE1  </t>
    </r>
    <r>
      <rPr>
        <i/>
        <sz val="8"/>
        <rFont val="Arial"/>
        <family val="2"/>
      </rPr>
      <t xml:space="preserve">500 mcg/ml </t>
    </r>
  </si>
  <si>
    <t>No penetra a SNC. Vigilancia gastrointestinal.</t>
  </si>
  <si>
    <t>Antifúngicos</t>
  </si>
  <si>
    <r>
      <t xml:space="preserve">Doxapram  </t>
    </r>
    <r>
      <rPr>
        <i/>
        <sz val="8"/>
        <rFont val="Arial"/>
        <family val="2"/>
      </rPr>
      <t xml:space="preserve"> (Dopram) 20 mg/ ml  </t>
    </r>
  </si>
  <si>
    <t xml:space="preserve">      aumentable  ...hasta  1-1.5 mg/kg/h.</t>
  </si>
  <si>
    <t xml:space="preserve">EPM:  </t>
  </si>
  <si>
    <t>Protección gástrica y similares (ev)</t>
  </si>
  <si>
    <t>Anticomiciales y similares (ev)</t>
  </si>
  <si>
    <r>
      <t xml:space="preserve">1 - 4 mcg/kg </t>
    </r>
    <r>
      <rPr>
        <sz val="8"/>
        <rFont val="Arial"/>
        <family val="2"/>
      </rPr>
      <t xml:space="preserve"> (lento)  hasta 50 mcg/kg s/a.</t>
    </r>
  </si>
  <si>
    <t xml:space="preserve">En meningitis: considerar aumentar dosis </t>
  </si>
  <si>
    <r>
      <t>Piperacilina-</t>
    </r>
    <r>
      <rPr>
        <i/>
        <sz val="9"/>
        <rFont val="Arial"/>
        <family val="0"/>
      </rPr>
      <t>Tazobactam</t>
    </r>
  </si>
  <si>
    <t xml:space="preserve">En meningitis: 1ª dosis 100mg/kg.  Seguir a 80 mg/k/24 hr.  Vigilancia Bil. y Vit K      </t>
  </si>
  <si>
    <t>Panc.: 1 ml + 4 ml SF   =&gt; 0.4 mg/ml</t>
  </si>
  <si>
    <t xml:space="preserve">4-5 mg/kg/dosis </t>
  </si>
  <si>
    <r>
      <t>Gentamicina</t>
    </r>
    <r>
      <rPr>
        <i/>
        <sz val="10"/>
        <rFont val="Arial"/>
        <family val="0"/>
      </rPr>
      <t xml:space="preserve"> </t>
    </r>
  </si>
  <si>
    <t>EPM:</t>
  </si>
  <si>
    <t>PMA</t>
  </si>
  <si>
    <t>Succ.: 2 ml +  8 ml SF   =&gt; 10 mg/ml</t>
  </si>
  <si>
    <t>En meningitis: dosis x 2</t>
  </si>
  <si>
    <t>En meningitis:  dosis x 1,5</t>
  </si>
  <si>
    <t>Mtº 4 - 8 mg/kg/24 hr (lento)</t>
  </si>
  <si>
    <t>Carga: 10 - 20 - 40 mg/Kg en 30 min. (Caf. Citrato)</t>
  </si>
  <si>
    <t>Aporte  glucosa (SG 10%)</t>
  </si>
  <si>
    <t>Fentanil  0,15 mg/ 3 ml</t>
  </si>
  <si>
    <t>repetible / 2 min  a dosis &gt;</t>
  </si>
  <si>
    <t>(incrementos de 50 mcg/kg )  hasta máxima dosis: 250 mcg/kg</t>
  </si>
  <si>
    <t>Carga: 4 - 6 mg/Kg en 30 min.</t>
  </si>
  <si>
    <t>Aztreonam</t>
  </si>
  <si>
    <t>Cefazolina</t>
  </si>
  <si>
    <t xml:space="preserve">     Dosis </t>
  </si>
  <si>
    <t>0.1 - 0.3 mg/kg</t>
  </si>
  <si>
    <t>0,01 mg/kg</t>
  </si>
  <si>
    <t>ET</t>
  </si>
  <si>
    <t>mEq</t>
  </si>
  <si>
    <t>1 mEq/kg</t>
  </si>
  <si>
    <t>Para ampi..</t>
  </si>
  <si>
    <t>Para genta..</t>
  </si>
  <si>
    <t>PM</t>
  </si>
  <si>
    <t>claves días vida y pes</t>
  </si>
  <si>
    <t xml:space="preserve">20 mg/kg/dosis </t>
  </si>
  <si>
    <t>8 mg/m2/dia</t>
  </si>
  <si>
    <t xml:space="preserve">SC: </t>
  </si>
  <si>
    <t>/8hr</t>
  </si>
  <si>
    <t>1 ml/hr = 10 mcg/kg/min</t>
  </si>
  <si>
    <t xml:space="preserve">Cateter Umbilical Venoso: </t>
  </si>
  <si>
    <t>Si asfixia importante o ductus o ttº con Indometacina:</t>
  </si>
  <si>
    <r>
      <t>Succinil-Col.[Suxametonio]</t>
    </r>
    <r>
      <rPr>
        <i/>
        <sz val="7"/>
        <rFont val="Arial"/>
        <family val="0"/>
      </rPr>
      <t xml:space="preserve"> (Anectine) 100 mg/ 2ml    ev</t>
    </r>
  </si>
  <si>
    <t xml:space="preserve">Esta hoja es sólo una guia orientativa. Verificar siempre cada dosis.   </t>
  </si>
  <si>
    <t>Intervalo</t>
  </si>
  <si>
    <t xml:space="preserve"> /  8 hr</t>
  </si>
  <si>
    <t xml:space="preserve"> (producto activo ± 19.5 mg/ml)</t>
  </si>
  <si>
    <t xml:space="preserve">1ª dosis: 1/2 DDT. </t>
  </si>
  <si>
    <t>Ampicilina</t>
  </si>
  <si>
    <t xml:space="preserve">Prostaglandina PGE2   10 mcg/ml </t>
  </si>
  <si>
    <t xml:space="preserve">Flolan            [=0,01 mg/ml]        </t>
  </si>
  <si>
    <r>
      <t xml:space="preserve">3ª dosis </t>
    </r>
    <r>
      <rPr>
        <sz val="8"/>
        <rFont val="Arial"/>
        <family val="0"/>
      </rPr>
      <t>(a las 8 hr)</t>
    </r>
    <r>
      <rPr>
        <sz val="9"/>
        <rFont val="Arial"/>
        <family val="0"/>
      </rPr>
      <t>: 1/4 DDT</t>
    </r>
  </si>
  <si>
    <t>TOT  (Oral)  Cm.:</t>
  </si>
  <si>
    <t>TNT  (nasal)    Cm.:</t>
  </si>
  <si>
    <r>
      <t xml:space="preserve">  Mtº: ir disminuyendo hasta mínimo:</t>
    </r>
    <r>
      <rPr>
        <sz val="7"/>
        <rFont val="Arial"/>
        <family val="2"/>
      </rPr>
      <t xml:space="preserve"> 0.01 mcg/kg/min</t>
    </r>
  </si>
  <si>
    <r>
      <t>6-8 mg/m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/dia  -en 2 o 3 dosis-</t>
    </r>
  </si>
  <si>
    <t xml:space="preserve">Clonazepam 1 mg/ml </t>
  </si>
  <si>
    <t>Hidrocortisona.    (100 mg/ml)</t>
  </si>
  <si>
    <t xml:space="preserve"> =&gt;Indicaciones: Shock- </t>
  </si>
  <si>
    <t xml:space="preserve">        Hipotensión refractaria</t>
  </si>
  <si>
    <t>Preparación de la dilución</t>
  </si>
  <si>
    <t xml:space="preserve">  Infundir</t>
  </si>
  <si>
    <t>Imipenem</t>
  </si>
  <si>
    <t>Eritromicina</t>
  </si>
  <si>
    <t>Ceftazidima</t>
  </si>
  <si>
    <t>Aciclovir</t>
  </si>
  <si>
    <t>Antimicrobianos</t>
  </si>
  <si>
    <t>mínim: 0,1 mg</t>
  </si>
  <si>
    <r>
      <t xml:space="preserve">Midazolam 5 mg/ 5 ml </t>
    </r>
    <r>
      <rPr>
        <i/>
        <sz val="8"/>
        <rFont val="Arial"/>
        <family val="0"/>
      </rPr>
      <t>[=1000 mcg/ml]</t>
    </r>
  </si>
  <si>
    <t>Mtº:  1,5  - 2  mg/kg/12 hr  (lento)</t>
  </si>
  <si>
    <t>Famotidina  10 mg/ml</t>
  </si>
  <si>
    <t xml:space="preserve">  dosis mensual  (en temporada epidémica de VRS)</t>
  </si>
  <si>
    <t>...</t>
  </si>
  <si>
    <t xml:space="preserve">  / 12 hr  (3 primeras dosis).</t>
  </si>
  <si>
    <t xml:space="preserve">      Dosis mantenimiento</t>
  </si>
  <si>
    <t>Pasar a dosis Mtº</t>
  </si>
  <si>
    <t xml:space="preserve">Introducir datos &gt;&gt; </t>
  </si>
  <si>
    <t>%</t>
  </si>
  <si>
    <t xml:space="preserve"> Suero Glucosado al 10%</t>
  </si>
  <si>
    <t xml:space="preserve"> Cálculo  de otro S Glucosado:</t>
  </si>
  <si>
    <t>Br. Pancuronio 4 mg/ 2ml  (Pavulon)</t>
  </si>
  <si>
    <t>0.03 mg/kg</t>
  </si>
  <si>
    <t>PGE1</t>
  </si>
  <si>
    <t>PGE2</t>
  </si>
  <si>
    <t xml:space="preserve">    Diluir en 2 ml de H2O ó SF =&gt; 0.5 mg/ml</t>
  </si>
  <si>
    <t>días gest:</t>
  </si>
  <si>
    <t>Edad gestacional:</t>
  </si>
  <si>
    <r>
      <t>5-</t>
    </r>
    <r>
      <rPr>
        <b/>
        <u val="single"/>
        <sz val="8"/>
        <rFont val="Arial"/>
        <family val="0"/>
      </rPr>
      <t>10</t>
    </r>
    <r>
      <rPr>
        <sz val="8"/>
        <rFont val="Arial"/>
        <family val="0"/>
      </rPr>
      <t xml:space="preserve"> mg/kg/dosis </t>
    </r>
  </si>
  <si>
    <t>/ 6 hr</t>
  </si>
  <si>
    <t xml:space="preserve">    Líquidos  ev  para  24 hr :</t>
  </si>
  <si>
    <t>4 ml/kg</t>
  </si>
  <si>
    <t>ev/IM/ET</t>
  </si>
  <si>
    <t>0.05 - 0.2 mg/Kg (lento: &gt; 5 min.)</t>
  </si>
  <si>
    <t>Dilución** previa: 1 ml de insulina + 9 ml SF  =&gt; 10 UI /ml ---&gt;</t>
  </si>
  <si>
    <t xml:space="preserve">ml de la Dilución** </t>
  </si>
  <si>
    <t xml:space="preserve">      + 0,6 mL de Seroalbúmina 20%</t>
  </si>
  <si>
    <t xml:space="preserve">      Para administración en dosis discontínuas: ver hoja "3-Otros"</t>
  </si>
  <si>
    <t>DXP</t>
  </si>
  <si>
    <t>Famot. 1 ml +  4 ml SF =&gt;  2 mg/ml</t>
  </si>
  <si>
    <r>
      <t xml:space="preserve">Insulina (regular, rápida) </t>
    </r>
    <r>
      <rPr>
        <i/>
        <sz val="10"/>
        <rFont val="Arial"/>
        <family val="2"/>
      </rPr>
      <t>100 UI /ml</t>
    </r>
  </si>
  <si>
    <t>100 mg/kg</t>
  </si>
  <si>
    <r>
      <t>Digoxina</t>
    </r>
    <r>
      <rPr>
        <b/>
        <i/>
        <sz val="8"/>
        <rFont val="Arial"/>
        <family val="0"/>
      </rPr>
      <t xml:space="preserve"> </t>
    </r>
    <r>
      <rPr>
        <i/>
        <sz val="8"/>
        <rFont val="Arial"/>
        <family val="2"/>
      </rPr>
      <t xml:space="preserve">Lanacordin 0.250 mg/ml [=250 mcg/ml] </t>
    </r>
    <r>
      <rPr>
        <i/>
        <sz val="9"/>
        <rFont val="Arial"/>
        <family val="2"/>
      </rPr>
      <t xml:space="preserve">  </t>
    </r>
  </si>
  <si>
    <r>
      <t xml:space="preserve">   *Dilución previa: </t>
    </r>
    <r>
      <rPr>
        <sz val="8"/>
        <color indexed="16"/>
        <rFont val="Arial"/>
        <family val="2"/>
      </rPr>
      <t>1 ml + 9 ml SG =&gt; 25 mcg/ml</t>
    </r>
  </si>
  <si>
    <t>Nefrotoxicidad (R)</t>
  </si>
  <si>
    <t>Siempre: infusión lenta en ≥ 30 min. Vigilancia renal y ototoxicidad</t>
  </si>
  <si>
    <t>7,5 -15 mg/kg/dosis</t>
  </si>
  <si>
    <t>Pes</t>
  </si>
  <si>
    <t>Edad Gest</t>
  </si>
  <si>
    <t xml:space="preserve">Idem    "        "        "      "  </t>
  </si>
  <si>
    <r>
      <t xml:space="preserve">0.01- 0.03 mg/kg  </t>
    </r>
    <r>
      <rPr>
        <sz val="7"/>
        <rFont val="Arial"/>
        <family val="0"/>
      </rPr>
      <t>(hasta 0.1 mg/Kg  s/a.)</t>
    </r>
  </si>
  <si>
    <t xml:space="preserve">   dosis inicio</t>
  </si>
  <si>
    <t>mcg/kg</t>
  </si>
  <si>
    <t>+</t>
  </si>
  <si>
    <t>jabs. 2004</t>
  </si>
  <si>
    <t>15 -18 mg/kg/dosis</t>
  </si>
  <si>
    <t>Edad Postmenstr:</t>
  </si>
  <si>
    <t>Ceftriaxona</t>
  </si>
  <si>
    <t xml:space="preserve">      100 mg/Kg</t>
  </si>
  <si>
    <t>35 mg/Kg</t>
  </si>
  <si>
    <t xml:space="preserve"> 50 mcg/kg</t>
  </si>
  <si>
    <t xml:space="preserve"> 20 mg/kg</t>
  </si>
  <si>
    <t>15 mg/kg</t>
  </si>
  <si>
    <t xml:space="preserve"> 0.1 mg/kg</t>
  </si>
  <si>
    <t xml:space="preserve">D. Calculada   </t>
  </si>
  <si>
    <r>
      <t xml:space="preserve">Dobutamina 250 mg/ 20 ml </t>
    </r>
    <r>
      <rPr>
        <i/>
        <sz val="9"/>
        <rFont val="Arial"/>
        <family val="2"/>
      </rPr>
      <t xml:space="preserve"> </t>
    </r>
  </si>
  <si>
    <t>0.1 mg/kg/24hr (3 dosis: empezar entre 6-12 hr de vida).</t>
  </si>
  <si>
    <t>2ª dosis …...……..….</t>
  </si>
  <si>
    <t>3ª dosis …...……..….</t>
  </si>
  <si>
    <r>
      <t>Esta hoja es sólo una guia orientativa.</t>
    </r>
    <r>
      <rPr>
        <sz val="8"/>
        <color indexed="18"/>
        <rFont val="Arial"/>
        <family val="2"/>
      </rPr>
      <t xml:space="preserve"> Verificar siempre cada dosis.</t>
    </r>
  </si>
  <si>
    <t>Morfina 10 mg/ml</t>
  </si>
  <si>
    <t>Midaz.: 3 ml + 3 ml SF   =&gt; 0 5 mg/ml</t>
  </si>
  <si>
    <t>Diaz.: 2 ml + 8 ml SF   =&gt; 1 mg/ml</t>
  </si>
  <si>
    <r>
      <t xml:space="preserve">Mtº: 1 - 3 mg/kg/12 hr </t>
    </r>
    <r>
      <rPr>
        <sz val="7"/>
        <rFont val="Arial"/>
        <family val="0"/>
      </rPr>
      <t xml:space="preserve"> ( &gt; de 55 sem EPM puede requerir &gt; dosis)</t>
    </r>
  </si>
  <si>
    <t>Palivizumab (Synagis)</t>
  </si>
  <si>
    <t xml:space="preserve"> </t>
  </si>
  <si>
    <t>Ranitidina en infusión contínua  (ver hoja 2)</t>
  </si>
  <si>
    <t>0,0625 mg/kg/hr</t>
  </si>
  <si>
    <r>
      <t>10</t>
    </r>
    <r>
      <rPr>
        <sz val="8"/>
        <rFont val="Arial"/>
        <family val="0"/>
      </rPr>
      <t xml:space="preserve"> -15 mg/kg/dosis  </t>
    </r>
  </si>
  <si>
    <t xml:space="preserve">6 -15 mg/kg/dosis </t>
  </si>
  <si>
    <t>0.1 ml/hr = 0.25 mg/kg/hr</t>
  </si>
  <si>
    <t>Fármacos  infusión contínua ev</t>
  </si>
  <si>
    <t xml:space="preserve">  Preparación  de  la  dilución  </t>
  </si>
  <si>
    <t>· Indicación:</t>
  </si>
  <si>
    <t>Meropenem</t>
  </si>
  <si>
    <t>En meningitis o infec. graves por Pseudomonas: dosis 40 mg/kg/ 8 hr.</t>
  </si>
  <si>
    <r>
      <t>20</t>
    </r>
    <r>
      <rPr>
        <sz val="8"/>
        <rFont val="Arial"/>
        <family val="0"/>
      </rPr>
      <t xml:space="preserve">-40 mg/kg/dosis </t>
    </r>
  </si>
  <si>
    <t>No penetra a SNC. Escasa experiencia en neonatos</t>
  </si>
  <si>
    <r>
      <t xml:space="preserve">2ª dosis </t>
    </r>
    <r>
      <rPr>
        <sz val="8"/>
        <rFont val="Arial"/>
        <family val="0"/>
      </rPr>
      <t>(a las 8 hr)</t>
    </r>
    <r>
      <rPr>
        <sz val="9"/>
        <rFont val="Arial"/>
        <family val="0"/>
      </rPr>
      <t>: 1/4 DDT</t>
    </r>
  </si>
  <si>
    <r>
      <t>20</t>
    </r>
    <r>
      <rPr>
        <sz val="8"/>
        <rFont val="Arial"/>
        <family val="0"/>
      </rPr>
      <t xml:space="preserve">-25 mg/kg/dosis </t>
    </r>
  </si>
  <si>
    <t xml:space="preserve">          (hasta 6 mcg/kg/min  s/a.)</t>
  </si>
  <si>
    <t>5 mg/Kg</t>
  </si>
  <si>
    <t>0,1 mg/kg</t>
  </si>
  <si>
    <t>Atención a numerosas imcompatibilidades</t>
  </si>
  <si>
    <t>SG. 10%</t>
  </si>
  <si>
    <t>Ganciclovir</t>
  </si>
  <si>
    <t xml:space="preserve"> /  12 hr</t>
  </si>
  <si>
    <t>Ojo: neutropenia (reducir a 1/2 dosis). Pasar lento en 1 hr. (ver instrucc. de dilución).</t>
  </si>
  <si>
    <t xml:space="preserve">6 mg/kg/dosis </t>
  </si>
  <si>
    <t>Antivíricos</t>
  </si>
  <si>
    <t>Antonio Cuñarro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</si>
</sst>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_ ;\-0\ "/>
    <numFmt numFmtId="183" formatCode="#,###\ &quot;Sem&quot;"/>
    <numFmt numFmtId="184" formatCode="0.###&quot; Kg.&quot;"/>
    <numFmt numFmtId="185" formatCode="0.0&quot;  mg&quot;"/>
    <numFmt numFmtId="186" formatCode="0&quot;  mg&quot;"/>
    <numFmt numFmtId="187" formatCode="0.0&quot; mg&quot;"/>
    <numFmt numFmtId="188" formatCode="0&quot; mg&quot;"/>
    <numFmt numFmtId="189" formatCode="#"/>
    <numFmt numFmtId="190" formatCode="0&quot;  UI&quot;"/>
    <numFmt numFmtId="191" formatCode="0&quot; -&quot;"/>
    <numFmt numFmtId="192" formatCode="0.0&quot; mg / 24 hr&quot;"/>
    <numFmt numFmtId="193" formatCode="&quot;hasta: &quot;0.0&quot; mg / 24 hr&quot;"/>
    <numFmt numFmtId="194" formatCode="0.00&quot;  ml&quot;"/>
    <numFmt numFmtId="195" formatCode="&quot; &quot;0.0&quot;  Sem.&quot;"/>
    <numFmt numFmtId="196" formatCode="dd\-mm\-yy"/>
    <numFmt numFmtId="197" formatCode="&quot;[ &quot;0.00&quot; ml]&quot;"/>
    <numFmt numFmtId="198" formatCode="0.0&quot; mg / 24h (Mantenimiento)&quot;"/>
    <numFmt numFmtId="199" formatCode="&quot;Seguir a :  &quot;0.0&quot;  - &quot;"/>
    <numFmt numFmtId="200" formatCode="&quot;Seguir con :  &quot;0.0&quot; mg&quot;"/>
  </numFmts>
  <fonts count="1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color indexed="32"/>
      <name val="Arial"/>
      <family val="0"/>
    </font>
    <font>
      <sz val="10"/>
      <color indexed="32"/>
      <name val="Arial"/>
      <family val="0"/>
    </font>
    <font>
      <sz val="8"/>
      <color indexed="32"/>
      <name val="Arial"/>
      <family val="0"/>
    </font>
    <font>
      <sz val="12"/>
      <color indexed="18"/>
      <name val="Arial"/>
      <family val="0"/>
    </font>
    <font>
      <b/>
      <sz val="10"/>
      <color indexed="32"/>
      <name val="Arial"/>
      <family val="2"/>
    </font>
    <font>
      <sz val="9"/>
      <name val="Arial"/>
      <family val="0"/>
    </font>
    <font>
      <b/>
      <sz val="12"/>
      <color indexed="32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0"/>
    </font>
    <font>
      <sz val="8"/>
      <name val="Arial"/>
      <family val="2"/>
    </font>
    <font>
      <sz val="10"/>
      <color indexed="16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color indexed="32"/>
      <name val="Times New Roman"/>
      <family val="1"/>
    </font>
    <font>
      <sz val="9"/>
      <color indexed="32"/>
      <name val="Times New Roman"/>
      <family val="0"/>
    </font>
    <font>
      <sz val="8"/>
      <color indexed="16"/>
      <name val="Arial"/>
      <family val="0"/>
    </font>
    <font>
      <sz val="9"/>
      <color indexed="16"/>
      <name val="Arial"/>
      <family val="0"/>
    </font>
    <font>
      <b/>
      <sz val="9"/>
      <name val="Arial"/>
      <family val="0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58"/>
      <name val="Arial"/>
      <family val="0"/>
    </font>
    <font>
      <b/>
      <i/>
      <sz val="9"/>
      <color indexed="9"/>
      <name val="Arial"/>
      <family val="0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b/>
      <sz val="9"/>
      <color indexed="16"/>
      <name val="Arial"/>
      <family val="0"/>
    </font>
    <font>
      <sz val="7"/>
      <name val="Arial"/>
      <family val="0"/>
    </font>
    <font>
      <sz val="9"/>
      <color indexed="10"/>
      <name val="Arial"/>
      <family val="2"/>
    </font>
    <font>
      <sz val="10"/>
      <name val="Arial"/>
      <family val="0"/>
    </font>
    <font>
      <b/>
      <sz val="11"/>
      <color indexed="16"/>
      <name val="Arial"/>
      <family val="0"/>
    </font>
    <font>
      <b/>
      <sz val="12"/>
      <color indexed="16"/>
      <name val="Arial"/>
      <family val="0"/>
    </font>
    <font>
      <sz val="10"/>
      <color indexed="18"/>
      <name val="Arial"/>
      <family val="0"/>
    </font>
    <font>
      <i/>
      <sz val="9"/>
      <name val="Arial"/>
      <family val="0"/>
    </font>
    <font>
      <i/>
      <sz val="8"/>
      <name val="Arial"/>
      <family val="0"/>
    </font>
    <font>
      <sz val="11"/>
      <name val="Times New Roman"/>
      <family val="0"/>
    </font>
    <font>
      <i/>
      <sz val="7"/>
      <name val="Arial"/>
      <family val="0"/>
    </font>
    <font>
      <sz val="11"/>
      <color indexed="32"/>
      <name val="Arial"/>
      <family val="0"/>
    </font>
    <font>
      <b/>
      <sz val="8"/>
      <color indexed="16"/>
      <name val="Arial"/>
      <family val="2"/>
    </font>
    <font>
      <sz val="7"/>
      <color indexed="18"/>
      <name val="Arial"/>
      <family val="2"/>
    </font>
    <font>
      <sz val="9"/>
      <color indexed="18"/>
      <name val="Arial"/>
      <family val="2"/>
    </font>
    <font>
      <b/>
      <sz val="24"/>
      <color indexed="32"/>
      <name val="Arial"/>
      <family val="0"/>
    </font>
    <font>
      <sz val="24"/>
      <color indexed="32"/>
      <name val="Arial"/>
      <family val="0"/>
    </font>
    <font>
      <b/>
      <sz val="11"/>
      <color indexed="18"/>
      <name val="Arial"/>
      <family val="0"/>
    </font>
    <font>
      <sz val="18"/>
      <color indexed="18"/>
      <name val="Arial"/>
      <family val="0"/>
    </font>
    <font>
      <b/>
      <sz val="10"/>
      <name val="Geneva"/>
      <family val="0"/>
    </font>
    <font>
      <b/>
      <sz val="12"/>
      <color indexed="18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sz val="11"/>
      <name val="Arial"/>
      <family val="2"/>
    </font>
    <font>
      <b/>
      <i/>
      <sz val="8"/>
      <color indexed="17"/>
      <name val="Arial"/>
      <family val="0"/>
    </font>
    <font>
      <sz val="8"/>
      <color indexed="51"/>
      <name val="Arial"/>
      <family val="0"/>
    </font>
    <font>
      <b/>
      <sz val="8"/>
      <name val="Arial"/>
      <family val="0"/>
    </font>
    <font>
      <i/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sz val="8"/>
      <color indexed="18"/>
      <name val="Arial"/>
      <family val="2"/>
    </font>
    <font>
      <sz val="11"/>
      <color indexed="16"/>
      <name val="Arial"/>
      <family val="2"/>
    </font>
    <font>
      <sz val="9"/>
      <color indexed="18"/>
      <name val="Geneva"/>
      <family val="0"/>
    </font>
    <font>
      <sz val="11"/>
      <color indexed="18"/>
      <name val="Times New Roman"/>
      <family val="1"/>
    </font>
    <font>
      <b/>
      <sz val="12"/>
      <color indexed="18"/>
      <name val="Geneva"/>
      <family val="0"/>
    </font>
    <font>
      <b/>
      <sz val="8"/>
      <color indexed="18"/>
      <name val="Arial"/>
      <family val="2"/>
    </font>
    <font>
      <sz val="9"/>
      <color indexed="42"/>
      <name val="Arial"/>
      <family val="2"/>
    </font>
    <font>
      <sz val="9"/>
      <color indexed="12"/>
      <name val="Geneva"/>
      <family val="0"/>
    </font>
    <font>
      <b/>
      <sz val="8"/>
      <color indexed="9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b/>
      <i/>
      <sz val="7"/>
      <color indexed="9"/>
      <name val="Arial"/>
      <family val="2"/>
    </font>
    <font>
      <sz val="7"/>
      <color indexed="9"/>
      <name val="Arial"/>
      <family val="2"/>
    </font>
    <font>
      <sz val="8"/>
      <color indexed="10"/>
      <name val="Arial"/>
      <family val="2"/>
    </font>
    <font>
      <sz val="10"/>
      <color indexed="42"/>
      <name val="Arial"/>
      <family val="2"/>
    </font>
    <font>
      <sz val="14"/>
      <name val="Times New Roman"/>
      <family val="1"/>
    </font>
    <font>
      <i/>
      <sz val="6"/>
      <name val="Arial"/>
      <family val="2"/>
    </font>
    <font>
      <i/>
      <sz val="8"/>
      <color indexed="59"/>
      <name val="Arial"/>
      <family val="2"/>
    </font>
    <font>
      <i/>
      <sz val="11"/>
      <name val="Arial"/>
      <family val="2"/>
    </font>
    <font>
      <sz val="15"/>
      <color indexed="18"/>
      <name val="Arial"/>
      <family val="0"/>
    </font>
    <font>
      <sz val="9"/>
      <color indexed="43"/>
      <name val="Arial"/>
      <family val="0"/>
    </font>
    <font>
      <sz val="10"/>
      <color indexed="10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b/>
      <sz val="10"/>
      <color indexed="12"/>
      <name val="Arial"/>
      <family val="0"/>
    </font>
    <font>
      <sz val="8"/>
      <color indexed="12"/>
      <name val="Arial"/>
      <family val="0"/>
    </font>
    <font>
      <b/>
      <u val="single"/>
      <sz val="8"/>
      <name val="Arial"/>
      <family val="0"/>
    </font>
    <font>
      <sz val="8"/>
      <name val="Arial Narrow"/>
      <family val="2"/>
    </font>
    <font>
      <b/>
      <u val="single"/>
      <sz val="8"/>
      <name val="Arial Narrow"/>
      <family val="2"/>
    </font>
    <font>
      <b/>
      <sz val="9"/>
      <color indexed="10"/>
      <name val="Geneva"/>
      <family val="0"/>
    </font>
    <font>
      <b/>
      <sz val="14"/>
      <name val="Arial"/>
      <family val="0"/>
    </font>
    <font>
      <sz val="9"/>
      <color indexed="17"/>
      <name val="Arial"/>
      <family val="0"/>
    </font>
    <font>
      <sz val="10"/>
      <color indexed="17"/>
      <name val="Arial"/>
      <family val="0"/>
    </font>
    <font>
      <b/>
      <sz val="9"/>
      <color indexed="18"/>
      <name val="Geneva"/>
      <family val="0"/>
    </font>
    <font>
      <b/>
      <sz val="11"/>
      <color indexed="60"/>
      <name val="Arial"/>
      <family val="0"/>
    </font>
    <font>
      <sz val="9"/>
      <color indexed="60"/>
      <name val="Arial"/>
      <family val="0"/>
    </font>
    <font>
      <b/>
      <sz val="10"/>
      <color indexed="60"/>
      <name val="Arial"/>
      <family val="0"/>
    </font>
    <font>
      <sz val="10"/>
      <color indexed="60"/>
      <name val="Arial"/>
      <family val="0"/>
    </font>
    <font>
      <vertAlign val="superscript"/>
      <sz val="8"/>
      <name val="Arial"/>
      <family val="2"/>
    </font>
    <font>
      <b/>
      <sz val="9"/>
      <color indexed="60"/>
      <name val="Arial"/>
      <family val="2"/>
    </font>
    <font>
      <sz val="8"/>
      <color indexed="8"/>
      <name val="Geneva"/>
      <family val="0"/>
    </font>
    <font>
      <b/>
      <sz val="11"/>
      <color indexed="18"/>
      <name val="Geneva"/>
      <family val="0"/>
    </font>
    <font>
      <sz val="18"/>
      <color indexed="26"/>
      <name val="Arial"/>
      <family val="0"/>
    </font>
    <font>
      <sz val="9"/>
      <color indexed="26"/>
      <name val="Arial"/>
      <family val="0"/>
    </font>
    <font>
      <sz val="10"/>
      <color indexed="26"/>
      <name val="Arial"/>
      <family val="0"/>
    </font>
    <font>
      <b/>
      <sz val="9"/>
      <color indexed="18"/>
      <name val="Arial"/>
      <family val="2"/>
    </font>
    <font>
      <sz val="12"/>
      <name val="Geneva"/>
      <family val="0"/>
    </font>
    <font>
      <sz val="8"/>
      <name val="Geneva"/>
      <family val="0"/>
    </font>
    <font>
      <sz val="18"/>
      <color indexed="10"/>
      <name val="Arial"/>
      <family val="0"/>
    </font>
    <font>
      <sz val="8"/>
      <color indexed="4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Geneva"/>
      <family val="0"/>
    </font>
    <font>
      <b/>
      <sz val="22"/>
      <color indexed="18"/>
      <name val="Arial"/>
      <family val="0"/>
    </font>
    <font>
      <sz val="22"/>
      <color indexed="18"/>
      <name val="Arial"/>
      <family val="0"/>
    </font>
    <font>
      <b/>
      <sz val="10"/>
      <color indexed="18"/>
      <name val="Arial"/>
      <family val="0"/>
    </font>
    <font>
      <b/>
      <sz val="10"/>
      <color indexed="18"/>
      <name val="Times New Roman"/>
      <family val="0"/>
    </font>
    <font>
      <sz val="10"/>
      <color indexed="18"/>
      <name val="Times New Roman"/>
      <family val="0"/>
    </font>
    <font>
      <sz val="9"/>
      <color indexed="18"/>
      <name val="Times New Roman"/>
      <family val="0"/>
    </font>
    <font>
      <sz val="8"/>
      <color indexed="18"/>
      <name val="Times New Roman"/>
      <family val="0"/>
    </font>
    <font>
      <b/>
      <sz val="9"/>
      <color indexed="18"/>
      <name val="Times New Roman"/>
      <family val="0"/>
    </font>
    <font>
      <sz val="7"/>
      <color indexed="18"/>
      <name val="Times New Roman"/>
      <family val="0"/>
    </font>
    <font>
      <b/>
      <sz val="7"/>
      <color indexed="18"/>
      <name val="Times New Roman"/>
      <family val="0"/>
    </font>
    <font>
      <sz val="8"/>
      <color indexed="18"/>
      <name val="Geneva"/>
      <family val="0"/>
    </font>
    <font>
      <b/>
      <sz val="14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Genev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0" fillId="2" borderId="0" applyNumberFormat="0" applyBorder="0" applyAlignment="0" applyProtection="0"/>
    <xf numFmtId="0" fontId="140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2" fillId="20" borderId="0" applyNumberFormat="0" applyBorder="0" applyAlignment="0" applyProtection="0"/>
    <xf numFmtId="0" fontId="143" fillId="21" borderId="1" applyNumberFormat="0" applyAlignment="0" applyProtection="0"/>
    <xf numFmtId="0" fontId="144" fillId="22" borderId="2" applyNumberFormat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0" applyNumberFormat="0" applyFill="0" applyBorder="0" applyAlignment="0" applyProtection="0"/>
    <xf numFmtId="0" fontId="141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1" fillId="26" borderId="0" applyNumberFormat="0" applyBorder="0" applyAlignment="0" applyProtection="0"/>
    <xf numFmtId="0" fontId="141" fillId="27" borderId="0" applyNumberFormat="0" applyBorder="0" applyAlignment="0" applyProtection="0"/>
    <xf numFmtId="0" fontId="141" fillId="28" borderId="0" applyNumberFormat="0" applyBorder="0" applyAlignment="0" applyProtection="0"/>
    <xf numFmtId="0" fontId="148" fillId="29" borderId="1" applyNumberFormat="0" applyAlignment="0" applyProtection="0"/>
    <xf numFmtId="0" fontId="1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51" fillId="21" borderId="6" applyNumberFormat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7" applyNumberFormat="0" applyFill="0" applyAlignment="0" applyProtection="0"/>
    <xf numFmtId="0" fontId="147" fillId="0" borderId="8" applyNumberFormat="0" applyFill="0" applyAlignment="0" applyProtection="0"/>
    <xf numFmtId="0" fontId="156" fillId="0" borderId="9" applyNumberFormat="0" applyFill="0" applyAlignment="0" applyProtection="0"/>
  </cellStyleXfs>
  <cellXfs count="1034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9" fillId="0" borderId="10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29" fillId="0" borderId="12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29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 horizontal="left"/>
      <protection hidden="1"/>
    </xf>
    <xf numFmtId="0" fontId="9" fillId="0" borderId="13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5" fillId="0" borderId="17" xfId="0" applyFont="1" applyFill="1" applyBorder="1" applyAlignment="1" applyProtection="1">
      <alignment/>
      <protection hidden="1"/>
    </xf>
    <xf numFmtId="2" fontId="13" fillId="0" borderId="17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23" fillId="0" borderId="17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20" fillId="0" borderId="11" xfId="0" applyFont="1" applyBorder="1" applyAlignment="1" applyProtection="1">
      <alignment horizontal="left"/>
      <protection hidden="1"/>
    </xf>
    <xf numFmtId="0" fontId="20" fillId="0" borderId="15" xfId="0" applyFont="1" applyBorder="1" applyAlignment="1" applyProtection="1">
      <alignment horizontal="left"/>
      <protection hidden="1"/>
    </xf>
    <xf numFmtId="180" fontId="30" fillId="0" borderId="14" xfId="0" applyNumberFormat="1" applyFont="1" applyBorder="1" applyAlignment="1" applyProtection="1">
      <alignment/>
      <protection hidden="1"/>
    </xf>
    <xf numFmtId="180" fontId="30" fillId="0" borderId="14" xfId="0" applyNumberFormat="1" applyFont="1" applyBorder="1" applyAlignment="1" applyProtection="1">
      <alignment horizontal="right"/>
      <protection hidden="1"/>
    </xf>
    <xf numFmtId="0" fontId="20" fillId="0" borderId="13" xfId="0" applyFont="1" applyBorder="1" applyAlignment="1" applyProtection="1">
      <alignment horizontal="left"/>
      <protection hidden="1"/>
    </xf>
    <xf numFmtId="180" fontId="30" fillId="0" borderId="16" xfId="0" applyNumberFormat="1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180" fontId="30" fillId="0" borderId="16" xfId="0" applyNumberFormat="1" applyFont="1" applyBorder="1" applyAlignment="1" applyProtection="1">
      <alignment/>
      <protection hidden="1"/>
    </xf>
    <xf numFmtId="180" fontId="30" fillId="0" borderId="12" xfId="0" applyNumberFormat="1" applyFont="1" applyBorder="1" applyAlignment="1" applyProtection="1">
      <alignment horizontal="right"/>
      <protection hidden="1"/>
    </xf>
    <xf numFmtId="2" fontId="30" fillId="0" borderId="10" xfId="0" applyNumberFormat="1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 horizontal="left"/>
      <protection hidden="1"/>
    </xf>
    <xf numFmtId="2" fontId="30" fillId="0" borderId="12" xfId="0" applyNumberFormat="1" applyFont="1" applyBorder="1" applyAlignment="1" applyProtection="1">
      <alignment/>
      <protection hidden="1"/>
    </xf>
    <xf numFmtId="0" fontId="30" fillId="0" borderId="14" xfId="0" applyFont="1" applyBorder="1" applyAlignment="1" applyProtection="1">
      <alignment horizontal="right"/>
      <protection hidden="1"/>
    </xf>
    <xf numFmtId="180" fontId="20" fillId="0" borderId="14" xfId="0" applyNumberFormat="1" applyFont="1" applyBorder="1" applyAlignment="1" applyProtection="1">
      <alignment/>
      <protection hidden="1"/>
    </xf>
    <xf numFmtId="0" fontId="38" fillId="0" borderId="10" xfId="0" applyFont="1" applyBorder="1" applyAlignment="1" applyProtection="1">
      <alignment horizontal="right"/>
      <protection hidden="1"/>
    </xf>
    <xf numFmtId="2" fontId="30" fillId="0" borderId="10" xfId="0" applyNumberFormat="1" applyFont="1" applyBorder="1" applyAlignment="1" applyProtection="1">
      <alignment horizontal="right"/>
      <protection hidden="1"/>
    </xf>
    <xf numFmtId="180" fontId="30" fillId="0" borderId="10" xfId="0" applyNumberFormat="1" applyFont="1" applyBorder="1" applyAlignment="1" applyProtection="1">
      <alignment horizontal="right"/>
      <protection hidden="1"/>
    </xf>
    <xf numFmtId="180" fontId="30" fillId="0" borderId="10" xfId="0" applyNumberFormat="1" applyFont="1" applyBorder="1" applyAlignment="1" applyProtection="1">
      <alignment/>
      <protection hidden="1"/>
    </xf>
    <xf numFmtId="2" fontId="30" fillId="0" borderId="14" xfId="0" applyNumberFormat="1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 horizontal="left"/>
      <protection hidden="1"/>
    </xf>
    <xf numFmtId="0" fontId="30" fillId="0" borderId="14" xfId="0" applyFont="1" applyBorder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2" fontId="20" fillId="0" borderId="15" xfId="0" applyNumberFormat="1" applyFont="1" applyBorder="1" applyAlignment="1" applyProtection="1">
      <alignment/>
      <protection hidden="1"/>
    </xf>
    <xf numFmtId="0" fontId="30" fillId="0" borderId="11" xfId="0" applyFont="1" applyBorder="1" applyAlignment="1" applyProtection="1">
      <alignment horizontal="right"/>
      <protection hidden="1"/>
    </xf>
    <xf numFmtId="0" fontId="30" fillId="0" borderId="11" xfId="0" applyFont="1" applyBorder="1" applyAlignment="1" applyProtection="1">
      <alignment/>
      <protection hidden="1"/>
    </xf>
    <xf numFmtId="1" fontId="20" fillId="0" borderId="12" xfId="0" applyNumberFormat="1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" fontId="20" fillId="0" borderId="10" xfId="0" applyNumberFormat="1" applyFont="1" applyBorder="1" applyAlignment="1" applyProtection="1">
      <alignment/>
      <protection hidden="1"/>
    </xf>
    <xf numFmtId="2" fontId="30" fillId="0" borderId="18" xfId="0" applyNumberFormat="1" applyFont="1" applyBorder="1" applyAlignment="1" applyProtection="1">
      <alignment horizontal="right"/>
      <protection hidden="1"/>
    </xf>
    <xf numFmtId="0" fontId="20" fillId="0" borderId="19" xfId="0" applyFont="1" applyBorder="1" applyAlignment="1" applyProtection="1">
      <alignment horizontal="left"/>
      <protection hidden="1"/>
    </xf>
    <xf numFmtId="180" fontId="30" fillId="0" borderId="18" xfId="0" applyNumberFormat="1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 horizontal="left"/>
      <protection hidden="1"/>
    </xf>
    <xf numFmtId="180" fontId="30" fillId="0" borderId="18" xfId="0" applyNumberFormat="1" applyFont="1" applyBorder="1" applyAlignment="1" applyProtection="1">
      <alignment horizontal="right"/>
      <protection hidden="1"/>
    </xf>
    <xf numFmtId="2" fontId="30" fillId="0" borderId="18" xfId="0" applyNumberFormat="1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 horizontal="right"/>
      <protection hidden="1"/>
    </xf>
    <xf numFmtId="0" fontId="20" fillId="0" borderId="21" xfId="0" applyFont="1" applyBorder="1" applyAlignment="1" applyProtection="1">
      <alignment/>
      <protection hidden="1"/>
    </xf>
    <xf numFmtId="0" fontId="37" fillId="0" borderId="16" xfId="0" applyFont="1" applyBorder="1" applyAlignment="1" applyProtection="1">
      <alignment/>
      <protection hidden="1"/>
    </xf>
    <xf numFmtId="0" fontId="13" fillId="0" borderId="22" xfId="0" applyFont="1" applyBorder="1" applyAlignment="1" applyProtection="1">
      <alignment horizontal="right"/>
      <protection hidden="1"/>
    </xf>
    <xf numFmtId="0" fontId="9" fillId="0" borderId="20" xfId="0" applyFont="1" applyBorder="1" applyAlignment="1" applyProtection="1">
      <alignment/>
      <protection hidden="1"/>
    </xf>
    <xf numFmtId="0" fontId="31" fillId="0" borderId="23" xfId="0" applyFont="1" applyBorder="1" applyAlignment="1" applyProtection="1">
      <alignment horizontal="right"/>
      <protection hidden="1"/>
    </xf>
    <xf numFmtId="0" fontId="31" fillId="0" borderId="11" xfId="0" applyFont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22" xfId="0" applyFont="1" applyBorder="1" applyAlignment="1" applyProtection="1">
      <alignment horizontal="left"/>
      <protection hidden="1"/>
    </xf>
    <xf numFmtId="0" fontId="13" fillId="0" borderId="22" xfId="0" applyFont="1" applyBorder="1" applyAlignment="1" applyProtection="1">
      <alignment horizontal="left"/>
      <protection hidden="1"/>
    </xf>
    <xf numFmtId="0" fontId="13" fillId="0" borderId="24" xfId="0" applyFont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left"/>
      <protection hidden="1"/>
    </xf>
    <xf numFmtId="0" fontId="13" fillId="0" borderId="23" xfId="0" applyFont="1" applyBorder="1" applyAlignment="1" applyProtection="1">
      <alignment horizontal="right"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9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19" fillId="0" borderId="19" xfId="0" applyFont="1" applyBorder="1" applyAlignment="1" applyProtection="1">
      <alignment horizontal="left"/>
      <protection hidden="1"/>
    </xf>
    <xf numFmtId="0" fontId="14" fillId="0" borderId="19" xfId="0" applyFont="1" applyBorder="1" applyAlignment="1" applyProtection="1">
      <alignment/>
      <protection hidden="1"/>
    </xf>
    <xf numFmtId="0" fontId="20" fillId="0" borderId="25" xfId="0" applyFont="1" applyBorder="1" applyAlignment="1" applyProtection="1">
      <alignment/>
      <protection hidden="1"/>
    </xf>
    <xf numFmtId="0" fontId="13" fillId="0" borderId="25" xfId="0" applyFont="1" applyBorder="1" applyAlignment="1" applyProtection="1">
      <alignment horizontal="right"/>
      <protection hidden="1"/>
    </xf>
    <xf numFmtId="0" fontId="29" fillId="0" borderId="16" xfId="0" applyFont="1" applyBorder="1" applyAlignment="1" applyProtection="1">
      <alignment/>
      <protection hidden="1"/>
    </xf>
    <xf numFmtId="0" fontId="19" fillId="0" borderId="15" xfId="0" applyFont="1" applyBorder="1" applyAlignment="1" applyProtection="1">
      <alignment horizontal="left"/>
      <protection hidden="1"/>
    </xf>
    <xf numFmtId="0" fontId="14" fillId="0" borderId="15" xfId="0" applyFont="1" applyBorder="1" applyAlignment="1" applyProtection="1">
      <alignment/>
      <protection hidden="1"/>
    </xf>
    <xf numFmtId="0" fontId="20" fillId="0" borderId="23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/>
      <protection hidden="1"/>
    </xf>
    <xf numFmtId="0" fontId="20" fillId="0" borderId="17" xfId="0" applyFont="1" applyBorder="1" applyAlignment="1" applyProtection="1">
      <alignment/>
      <protection hidden="1"/>
    </xf>
    <xf numFmtId="0" fontId="13" fillId="0" borderId="17" xfId="0" applyFont="1" applyBorder="1" applyAlignment="1" applyProtection="1">
      <alignment horizontal="right"/>
      <protection hidden="1"/>
    </xf>
    <xf numFmtId="0" fontId="20" fillId="0" borderId="22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 horizontal="left"/>
      <protection hidden="1"/>
    </xf>
    <xf numFmtId="0" fontId="20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horizontal="left"/>
      <protection hidden="1"/>
    </xf>
    <xf numFmtId="0" fontId="13" fillId="0" borderId="11" xfId="0" applyFont="1" applyBorder="1" applyAlignment="1" applyProtection="1">
      <alignment horizontal="right"/>
      <protection hidden="1"/>
    </xf>
    <xf numFmtId="0" fontId="20" fillId="0" borderId="24" xfId="0" applyFont="1" applyBorder="1" applyAlignment="1" applyProtection="1">
      <alignment/>
      <protection hidden="1"/>
    </xf>
    <xf numFmtId="0" fontId="37" fillId="0" borderId="14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14" fillId="0" borderId="23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33" fillId="0" borderId="19" xfId="0" applyFont="1" applyBorder="1" applyAlignment="1" applyProtection="1">
      <alignment/>
      <protection hidden="1"/>
    </xf>
    <xf numFmtId="0" fontId="38" fillId="0" borderId="10" xfId="0" applyFont="1" applyBorder="1" applyAlignment="1" applyProtection="1">
      <alignment horizontal="left"/>
      <protection hidden="1"/>
    </xf>
    <xf numFmtId="0" fontId="38" fillId="0" borderId="21" xfId="0" applyFont="1" applyBorder="1" applyAlignment="1" applyProtection="1">
      <alignment horizontal="left"/>
      <protection hidden="1"/>
    </xf>
    <xf numFmtId="0" fontId="19" fillId="0" borderId="20" xfId="0" applyFont="1" applyBorder="1" applyAlignment="1" applyProtection="1">
      <alignment/>
      <protection hidden="1"/>
    </xf>
    <xf numFmtId="0" fontId="19" fillId="0" borderId="20" xfId="0" applyFont="1" applyBorder="1" applyAlignment="1" applyProtection="1">
      <alignment horizontal="left"/>
      <protection hidden="1"/>
    </xf>
    <xf numFmtId="0" fontId="14" fillId="0" borderId="26" xfId="0" applyFont="1" applyBorder="1" applyAlignment="1" applyProtection="1">
      <alignment/>
      <protection hidden="1"/>
    </xf>
    <xf numFmtId="180" fontId="12" fillId="0" borderId="21" xfId="0" applyNumberFormat="1" applyFont="1" applyBorder="1" applyAlignment="1" applyProtection="1">
      <alignment/>
      <protection hidden="1"/>
    </xf>
    <xf numFmtId="0" fontId="20" fillId="0" borderId="26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left"/>
      <protection hidden="1"/>
    </xf>
    <xf numFmtId="0" fontId="13" fillId="0" borderId="26" xfId="0" applyFont="1" applyBorder="1" applyAlignment="1" applyProtection="1">
      <alignment horizontal="right"/>
      <protection hidden="1"/>
    </xf>
    <xf numFmtId="0" fontId="19" fillId="0" borderId="15" xfId="0" applyFont="1" applyBorder="1" applyAlignment="1" applyProtection="1">
      <alignment/>
      <protection hidden="1"/>
    </xf>
    <xf numFmtId="2" fontId="12" fillId="0" borderId="15" xfId="0" applyNumberFormat="1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30" fillId="0" borderId="24" xfId="0" applyFont="1" applyBorder="1" applyAlignment="1" applyProtection="1">
      <alignment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right"/>
      <protection hidden="1"/>
    </xf>
    <xf numFmtId="0" fontId="30" fillId="0" borderId="22" xfId="0" applyFont="1" applyBorder="1" applyAlignment="1" applyProtection="1">
      <alignment/>
      <protection hidden="1"/>
    </xf>
    <xf numFmtId="0" fontId="42" fillId="0" borderId="11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13" fillId="0" borderId="15" xfId="0" applyFont="1" applyFill="1" applyBorder="1" applyAlignment="1" applyProtection="1">
      <alignment/>
      <protection hidden="1"/>
    </xf>
    <xf numFmtId="0" fontId="13" fillId="0" borderId="15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13" fillId="0" borderId="11" xfId="0" applyFont="1" applyFill="1" applyBorder="1" applyAlignment="1" applyProtection="1">
      <alignment/>
      <protection hidden="1"/>
    </xf>
    <xf numFmtId="0" fontId="13" fillId="0" borderId="11" xfId="0" applyFont="1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9" fillId="0" borderId="22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/>
      <protection hidden="1"/>
    </xf>
    <xf numFmtId="0" fontId="9" fillId="0" borderId="17" xfId="0" applyFont="1" applyFill="1" applyBorder="1" applyAlignment="1" applyProtection="1">
      <alignment/>
      <protection hidden="1"/>
    </xf>
    <xf numFmtId="0" fontId="29" fillId="0" borderId="15" xfId="0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9" fillId="0" borderId="27" xfId="0" applyFont="1" applyFill="1" applyBorder="1" applyAlignment="1" applyProtection="1">
      <alignment/>
      <protection hidden="1"/>
    </xf>
    <xf numFmtId="0" fontId="9" fillId="0" borderId="28" xfId="0" applyFont="1" applyFill="1" applyBorder="1" applyAlignment="1" applyProtection="1">
      <alignment horizontal="right"/>
      <protection hidden="1"/>
    </xf>
    <xf numFmtId="0" fontId="9" fillId="0" borderId="27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 horizontal="right"/>
      <protection hidden="1"/>
    </xf>
    <xf numFmtId="0" fontId="19" fillId="0" borderId="13" xfId="0" applyFont="1" applyFill="1" applyBorder="1" applyAlignment="1" applyProtection="1">
      <alignment horizontal="left"/>
      <protection hidden="1"/>
    </xf>
    <xf numFmtId="0" fontId="14" fillId="0" borderId="13" xfId="0" applyFont="1" applyFill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/>
      <protection hidden="1"/>
    </xf>
    <xf numFmtId="0" fontId="20" fillId="0" borderId="24" xfId="0" applyFont="1" applyFill="1" applyBorder="1" applyAlignment="1" applyProtection="1">
      <alignment/>
      <protection hidden="1"/>
    </xf>
    <xf numFmtId="0" fontId="13" fillId="0" borderId="28" xfId="0" applyFont="1" applyFill="1" applyBorder="1" applyAlignment="1" applyProtection="1">
      <alignment horizontal="right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28" xfId="0" applyFont="1" applyFill="1" applyBorder="1" applyAlignment="1" applyProtection="1">
      <alignment horizontal="left"/>
      <protection hidden="1"/>
    </xf>
    <xf numFmtId="0" fontId="14" fillId="0" borderId="15" xfId="0" applyFont="1" applyFill="1" applyBorder="1" applyAlignment="1" applyProtection="1">
      <alignment/>
      <protection hidden="1"/>
    </xf>
    <xf numFmtId="0" fontId="20" fillId="0" borderId="15" xfId="0" applyFont="1" applyFill="1" applyBorder="1" applyAlignment="1" applyProtection="1">
      <alignment/>
      <protection hidden="1"/>
    </xf>
    <xf numFmtId="0" fontId="19" fillId="0" borderId="11" xfId="0" applyFont="1" applyFill="1" applyBorder="1" applyAlignment="1" applyProtection="1">
      <alignment horizontal="left"/>
      <protection hidden="1"/>
    </xf>
    <xf numFmtId="2" fontId="12" fillId="0" borderId="10" xfId="0" applyNumberFormat="1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/>
      <protection hidden="1"/>
    </xf>
    <xf numFmtId="180" fontId="14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9" fillId="0" borderId="29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 horizontal="right"/>
      <protection hidden="1"/>
    </xf>
    <xf numFmtId="0" fontId="15" fillId="0" borderId="20" xfId="0" applyFont="1" applyFill="1" applyBorder="1" applyAlignment="1" applyProtection="1">
      <alignment horizontal="left"/>
      <protection hidden="1"/>
    </xf>
    <xf numFmtId="180" fontId="13" fillId="0" borderId="20" xfId="0" applyNumberFormat="1" applyFont="1" applyFill="1" applyBorder="1" applyAlignment="1" applyProtection="1">
      <alignment horizontal="left"/>
      <protection hidden="1"/>
    </xf>
    <xf numFmtId="0" fontId="19" fillId="0" borderId="20" xfId="0" applyFont="1" applyFill="1" applyBorder="1" applyAlignment="1" applyProtection="1">
      <alignment horizontal="left"/>
      <protection hidden="1"/>
    </xf>
    <xf numFmtId="0" fontId="14" fillId="0" borderId="20" xfId="0" applyFont="1" applyFill="1" applyBorder="1" applyAlignment="1" applyProtection="1">
      <alignment/>
      <protection hidden="1"/>
    </xf>
    <xf numFmtId="2" fontId="12" fillId="0" borderId="20" xfId="0" applyNumberFormat="1" applyFont="1" applyFill="1" applyBorder="1" applyAlignment="1" applyProtection="1">
      <alignment/>
      <protection hidden="1"/>
    </xf>
    <xf numFmtId="180" fontId="14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 applyProtection="1">
      <alignment/>
      <protection hidden="1"/>
    </xf>
    <xf numFmtId="0" fontId="13" fillId="0" borderId="30" xfId="0" applyFont="1" applyFill="1" applyBorder="1" applyAlignment="1" applyProtection="1">
      <alignment horizontal="right"/>
      <protection hidden="1"/>
    </xf>
    <xf numFmtId="0" fontId="29" fillId="0" borderId="12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1" fontId="20" fillId="0" borderId="13" xfId="0" applyNumberFormat="1" applyFont="1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/>
      <protection hidden="1"/>
    </xf>
    <xf numFmtId="0" fontId="9" fillId="0" borderId="24" xfId="0" applyFont="1" applyFill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 horizontal="right"/>
      <protection hidden="1"/>
    </xf>
    <xf numFmtId="0" fontId="33" fillId="0" borderId="0" xfId="0" applyFont="1" applyFill="1" applyAlignment="1" applyProtection="1">
      <alignment/>
      <protection hidden="1"/>
    </xf>
    <xf numFmtId="0" fontId="10" fillId="35" borderId="0" xfId="0" applyFont="1" applyFill="1" applyBorder="1" applyAlignment="1" applyProtection="1">
      <alignment horizontal="left"/>
      <protection hidden="1"/>
    </xf>
    <xf numFmtId="0" fontId="0" fillId="35" borderId="0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47" fillId="35" borderId="0" xfId="0" applyFont="1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right"/>
      <protection hidden="1"/>
    </xf>
    <xf numFmtId="0" fontId="7" fillId="35" borderId="0" xfId="0" applyFont="1" applyFill="1" applyBorder="1" applyAlignment="1" applyProtection="1">
      <alignment horizontal="right"/>
      <protection hidden="1"/>
    </xf>
    <xf numFmtId="15" fontId="8" fillId="35" borderId="0" xfId="0" applyNumberFormat="1" applyFont="1" applyFill="1" applyBorder="1" applyAlignment="1" applyProtection="1">
      <alignment horizontal="center"/>
      <protection hidden="1"/>
    </xf>
    <xf numFmtId="0" fontId="34" fillId="35" borderId="0" xfId="0" applyFont="1" applyFill="1" applyBorder="1" applyAlignment="1" applyProtection="1">
      <alignment/>
      <protection hidden="1"/>
    </xf>
    <xf numFmtId="0" fontId="1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 horizontal="left"/>
      <protection hidden="1"/>
    </xf>
    <xf numFmtId="0" fontId="9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11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12" fillId="35" borderId="0" xfId="0" applyFont="1" applyFill="1" applyBorder="1" applyAlignment="1" applyProtection="1">
      <alignment horizontal="left"/>
      <protection hidden="1"/>
    </xf>
    <xf numFmtId="0" fontId="0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right"/>
      <protection hidden="1"/>
    </xf>
    <xf numFmtId="0" fontId="16" fillId="35" borderId="0" xfId="0" applyFont="1" applyFill="1" applyAlignment="1" applyProtection="1">
      <alignment horizontal="right"/>
      <protection hidden="1"/>
    </xf>
    <xf numFmtId="0" fontId="17" fillId="35" borderId="0" xfId="0" applyFont="1" applyFill="1" applyAlignment="1" applyProtection="1">
      <alignment horizontal="right"/>
      <protection hidden="1"/>
    </xf>
    <xf numFmtId="180" fontId="18" fillId="35" borderId="0" xfId="0" applyNumberFormat="1" applyFont="1" applyFill="1" applyAlignment="1" applyProtection="1">
      <alignment horizontal="right"/>
      <protection hidden="1"/>
    </xf>
    <xf numFmtId="0" fontId="20" fillId="35" borderId="0" xfId="0" applyFont="1" applyFill="1" applyBorder="1" applyAlignment="1" applyProtection="1">
      <alignment horizontal="center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2" fontId="53" fillId="35" borderId="0" xfId="0" applyNumberFormat="1" applyFont="1" applyFill="1" applyBorder="1" applyAlignment="1" applyProtection="1">
      <alignment horizontal="left"/>
      <protection hidden="1"/>
    </xf>
    <xf numFmtId="0" fontId="0" fillId="35" borderId="0" xfId="0" applyFont="1" applyFill="1" applyAlignment="1" applyProtection="1">
      <alignment/>
      <protection hidden="1"/>
    </xf>
    <xf numFmtId="181" fontId="15" fillId="35" borderId="0" xfId="0" applyNumberFormat="1" applyFont="1" applyFill="1" applyBorder="1" applyAlignment="1" applyProtection="1">
      <alignment horizontal="left"/>
      <protection hidden="1"/>
    </xf>
    <xf numFmtId="0" fontId="0" fillId="35" borderId="0" xfId="0" applyFill="1" applyBorder="1" applyAlignment="1" applyProtection="1">
      <alignment/>
      <protection hidden="1"/>
    </xf>
    <xf numFmtId="0" fontId="47" fillId="35" borderId="0" xfId="0" applyFont="1" applyFill="1" applyBorder="1" applyAlignment="1" applyProtection="1">
      <alignment horizontal="right"/>
      <protection hidden="1"/>
    </xf>
    <xf numFmtId="0" fontId="29" fillId="35" borderId="13" xfId="0" applyFont="1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9" fillId="35" borderId="13" xfId="0" applyFont="1" applyFill="1" applyBorder="1" applyAlignment="1" applyProtection="1">
      <alignment/>
      <protection hidden="1"/>
    </xf>
    <xf numFmtId="0" fontId="13" fillId="35" borderId="13" xfId="0" applyFont="1" applyFill="1" applyBorder="1" applyAlignment="1" applyProtection="1">
      <alignment/>
      <protection hidden="1"/>
    </xf>
    <xf numFmtId="2" fontId="12" fillId="35" borderId="12" xfId="0" applyNumberFormat="1" applyFont="1" applyFill="1" applyBorder="1" applyAlignment="1" applyProtection="1">
      <alignment/>
      <protection hidden="1"/>
    </xf>
    <xf numFmtId="0" fontId="30" fillId="35" borderId="24" xfId="0" applyFont="1" applyFill="1" applyBorder="1" applyAlignment="1" applyProtection="1">
      <alignment/>
      <protection hidden="1"/>
    </xf>
    <xf numFmtId="2" fontId="14" fillId="35" borderId="13" xfId="0" applyNumberFormat="1" applyFont="1" applyFill="1" applyBorder="1" applyAlignment="1" applyProtection="1">
      <alignment/>
      <protection hidden="1"/>
    </xf>
    <xf numFmtId="0" fontId="20" fillId="35" borderId="13" xfId="0" applyFont="1" applyFill="1" applyBorder="1" applyAlignment="1" applyProtection="1">
      <alignment/>
      <protection hidden="1"/>
    </xf>
    <xf numFmtId="0" fontId="37" fillId="35" borderId="12" xfId="0" applyFont="1" applyFill="1" applyBorder="1" applyAlignment="1" applyProtection="1">
      <alignment/>
      <protection hidden="1"/>
    </xf>
    <xf numFmtId="0" fontId="37" fillId="35" borderId="13" xfId="0" applyFont="1" applyFill="1" applyBorder="1" applyAlignment="1" applyProtection="1">
      <alignment/>
      <protection hidden="1"/>
    </xf>
    <xf numFmtId="0" fontId="13" fillId="35" borderId="13" xfId="0" applyFont="1" applyFill="1" applyBorder="1" applyAlignment="1" applyProtection="1">
      <alignment/>
      <protection hidden="1"/>
    </xf>
    <xf numFmtId="0" fontId="13" fillId="35" borderId="31" xfId="0" applyFont="1" applyFill="1" applyBorder="1" applyAlignment="1" applyProtection="1">
      <alignment/>
      <protection hidden="1"/>
    </xf>
    <xf numFmtId="0" fontId="13" fillId="35" borderId="0" xfId="0" applyFont="1" applyFill="1" applyBorder="1" applyAlignment="1" applyProtection="1">
      <alignment horizontal="left"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13" fillId="35" borderId="0" xfId="0" applyFont="1" applyFill="1" applyBorder="1" applyAlignment="1" applyProtection="1">
      <alignment horizontal="left"/>
      <protection hidden="1"/>
    </xf>
    <xf numFmtId="180" fontId="12" fillId="35" borderId="0" xfId="0" applyNumberFormat="1" applyFont="1" applyFill="1" applyBorder="1" applyAlignment="1" applyProtection="1">
      <alignment/>
      <protection hidden="1"/>
    </xf>
    <xf numFmtId="0" fontId="30" fillId="35" borderId="0" xfId="0" applyFont="1" applyFill="1" applyBorder="1" applyAlignment="1" applyProtection="1">
      <alignment/>
      <protection hidden="1"/>
    </xf>
    <xf numFmtId="2" fontId="14" fillId="35" borderId="0" xfId="0" applyNumberFormat="1" applyFont="1" applyFill="1" applyBorder="1" applyAlignment="1" applyProtection="1">
      <alignment/>
      <protection hidden="1"/>
    </xf>
    <xf numFmtId="0" fontId="20" fillId="35" borderId="0" xfId="0" applyFont="1" applyFill="1" applyBorder="1" applyAlignment="1" applyProtection="1">
      <alignment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21" fillId="35" borderId="0" xfId="0" applyFont="1" applyFill="1" applyAlignment="1" applyProtection="1">
      <alignment horizontal="left"/>
      <protection hidden="1"/>
    </xf>
    <xf numFmtId="0" fontId="20" fillId="35" borderId="0" xfId="0" applyFont="1" applyFill="1" applyBorder="1" applyAlignment="1" applyProtection="1">
      <alignment horizontal="right"/>
      <protection hidden="1"/>
    </xf>
    <xf numFmtId="0" fontId="15" fillId="35" borderId="0" xfId="0" applyNumberFormat="1" applyFont="1" applyFill="1" applyBorder="1" applyAlignment="1" applyProtection="1">
      <alignment/>
      <protection hidden="1"/>
    </xf>
    <xf numFmtId="0" fontId="9" fillId="35" borderId="15" xfId="0" applyFont="1" applyFill="1" applyBorder="1" applyAlignment="1" applyProtection="1">
      <alignment/>
      <protection hidden="1"/>
    </xf>
    <xf numFmtId="0" fontId="13" fillId="35" borderId="15" xfId="0" applyFont="1" applyFill="1" applyBorder="1" applyAlignment="1" applyProtection="1">
      <alignment/>
      <protection hidden="1"/>
    </xf>
    <xf numFmtId="0" fontId="20" fillId="35" borderId="15" xfId="0" applyFont="1" applyFill="1" applyBorder="1" applyAlignment="1" applyProtection="1">
      <alignment/>
      <protection hidden="1"/>
    </xf>
    <xf numFmtId="1" fontId="12" fillId="35" borderId="13" xfId="0" applyNumberFormat="1" applyFont="1" applyFill="1" applyBorder="1" applyAlignment="1" applyProtection="1">
      <alignment/>
      <protection hidden="1"/>
    </xf>
    <xf numFmtId="0" fontId="30" fillId="35" borderId="13" xfId="0" applyFont="1" applyFill="1" applyBorder="1" applyAlignment="1" applyProtection="1">
      <alignment/>
      <protection hidden="1"/>
    </xf>
    <xf numFmtId="0" fontId="13" fillId="35" borderId="15" xfId="0" applyFont="1" applyFill="1" applyBorder="1" applyAlignment="1" applyProtection="1">
      <alignment horizontal="left"/>
      <protection hidden="1"/>
    </xf>
    <xf numFmtId="0" fontId="9" fillId="35" borderId="13" xfId="0" applyFont="1" applyFill="1" applyBorder="1" applyAlignment="1" applyProtection="1">
      <alignment/>
      <protection hidden="1"/>
    </xf>
    <xf numFmtId="180" fontId="12" fillId="35" borderId="15" xfId="0" applyNumberFormat="1" applyFont="1" applyFill="1" applyBorder="1" applyAlignment="1" applyProtection="1">
      <alignment/>
      <protection hidden="1"/>
    </xf>
    <xf numFmtId="0" fontId="30" fillId="35" borderId="15" xfId="0" applyFont="1" applyFill="1" applyBorder="1" applyAlignment="1" applyProtection="1">
      <alignment/>
      <protection hidden="1"/>
    </xf>
    <xf numFmtId="2" fontId="19" fillId="35" borderId="15" xfId="0" applyNumberFormat="1" applyFont="1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left"/>
      <protection hidden="1"/>
    </xf>
    <xf numFmtId="0" fontId="44" fillId="35" borderId="0" xfId="0" applyFont="1" applyFill="1" applyBorder="1" applyAlignment="1" applyProtection="1">
      <alignment horizontal="right"/>
      <protection hidden="1"/>
    </xf>
    <xf numFmtId="0" fontId="43" fillId="35" borderId="0" xfId="0" applyFont="1" applyFill="1" applyBorder="1" applyAlignment="1" applyProtection="1">
      <alignment horizontal="right"/>
      <protection hidden="1"/>
    </xf>
    <xf numFmtId="0" fontId="25" fillId="36" borderId="12" xfId="0" applyFont="1" applyFill="1" applyBorder="1" applyAlignment="1" applyProtection="1">
      <alignment/>
      <protection hidden="1"/>
    </xf>
    <xf numFmtId="0" fontId="25" fillId="36" borderId="13" xfId="0" applyFont="1" applyFill="1" applyBorder="1" applyAlignment="1" applyProtection="1">
      <alignment/>
      <protection hidden="1"/>
    </xf>
    <xf numFmtId="0" fontId="25" fillId="36" borderId="24" xfId="0" applyFont="1" applyFill="1" applyBorder="1" applyAlignment="1" applyProtection="1">
      <alignment/>
      <protection hidden="1"/>
    </xf>
    <xf numFmtId="0" fontId="25" fillId="36" borderId="15" xfId="0" applyFont="1" applyFill="1" applyBorder="1" applyAlignment="1" applyProtection="1">
      <alignment/>
      <protection hidden="1"/>
    </xf>
    <xf numFmtId="0" fontId="22" fillId="36" borderId="12" xfId="0" applyFont="1" applyFill="1" applyBorder="1" applyAlignment="1" applyProtection="1">
      <alignment/>
      <protection hidden="1"/>
    </xf>
    <xf numFmtId="0" fontId="22" fillId="36" borderId="13" xfId="0" applyFont="1" applyFill="1" applyBorder="1" applyAlignment="1" applyProtection="1">
      <alignment/>
      <protection hidden="1"/>
    </xf>
    <xf numFmtId="0" fontId="23" fillId="36" borderId="13" xfId="0" applyFont="1" applyFill="1" applyBorder="1" applyAlignment="1" applyProtection="1">
      <alignment/>
      <protection hidden="1"/>
    </xf>
    <xf numFmtId="0" fontId="24" fillId="36" borderId="13" xfId="0" applyFont="1" applyFill="1" applyBorder="1" applyAlignment="1" applyProtection="1">
      <alignment/>
      <protection hidden="1"/>
    </xf>
    <xf numFmtId="0" fontId="26" fillId="36" borderId="13" xfId="0" applyFont="1" applyFill="1" applyBorder="1" applyAlignment="1" applyProtection="1">
      <alignment/>
      <protection hidden="1"/>
    </xf>
    <xf numFmtId="0" fontId="27" fillId="36" borderId="13" xfId="0" applyFont="1" applyFill="1" applyBorder="1" applyAlignment="1" applyProtection="1">
      <alignment horizontal="left"/>
      <protection hidden="1"/>
    </xf>
    <xf numFmtId="0" fontId="28" fillId="36" borderId="13" xfId="0" applyFont="1" applyFill="1" applyBorder="1" applyAlignment="1" applyProtection="1">
      <alignment/>
      <protection hidden="1"/>
    </xf>
    <xf numFmtId="0" fontId="23" fillId="36" borderId="13" xfId="0" applyFont="1" applyFill="1" applyBorder="1" applyAlignment="1" applyProtection="1">
      <alignment horizontal="left"/>
      <protection hidden="1"/>
    </xf>
    <xf numFmtId="0" fontId="29" fillId="0" borderId="10" xfId="0" applyFont="1" applyFill="1" applyBorder="1" applyAlignment="1" applyProtection="1">
      <alignment/>
      <protection hidden="1"/>
    </xf>
    <xf numFmtId="0" fontId="29" fillId="0" borderId="11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0" fillId="0" borderId="22" xfId="0" applyFont="1" applyFill="1" applyBorder="1" applyAlignment="1" applyProtection="1">
      <alignment/>
      <protection hidden="1"/>
    </xf>
    <xf numFmtId="0" fontId="13" fillId="0" borderId="32" xfId="0" applyFont="1" applyFill="1" applyBorder="1" applyAlignment="1" applyProtection="1">
      <alignment/>
      <protection hidden="1"/>
    </xf>
    <xf numFmtId="0" fontId="29" fillId="0" borderId="12" xfId="0" applyFont="1" applyFill="1" applyBorder="1" applyAlignment="1" applyProtection="1">
      <alignment/>
      <protection hidden="1"/>
    </xf>
    <xf numFmtId="0" fontId="29" fillId="0" borderId="13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/>
      <protection hidden="1"/>
    </xf>
    <xf numFmtId="2" fontId="12" fillId="0" borderId="12" xfId="0" applyNumberFormat="1" applyFont="1" applyFill="1" applyBorder="1" applyAlignment="1" applyProtection="1">
      <alignment/>
      <protection hidden="1"/>
    </xf>
    <xf numFmtId="0" fontId="30" fillId="0" borderId="24" xfId="0" applyFont="1" applyFill="1" applyBorder="1" applyAlignment="1" applyProtection="1">
      <alignment/>
      <protection hidden="1"/>
    </xf>
    <xf numFmtId="2" fontId="14" fillId="0" borderId="13" xfId="0" applyNumberFormat="1" applyFont="1" applyFill="1" applyBorder="1" applyAlignment="1" applyProtection="1">
      <alignment/>
      <protection hidden="1"/>
    </xf>
    <xf numFmtId="0" fontId="13" fillId="0" borderId="3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/>
      <protection hidden="1"/>
    </xf>
    <xf numFmtId="0" fontId="37" fillId="0" borderId="13" xfId="0" applyFont="1" applyFill="1" applyBorder="1" applyAlignment="1" applyProtection="1">
      <alignment/>
      <protection hidden="1"/>
    </xf>
    <xf numFmtId="180" fontId="12" fillId="0" borderId="12" xfId="0" applyNumberFormat="1" applyFont="1" applyFill="1" applyBorder="1" applyAlignment="1" applyProtection="1">
      <alignment/>
      <protection hidden="1"/>
    </xf>
    <xf numFmtId="180" fontId="14" fillId="0" borderId="13" xfId="0" applyNumberFormat="1" applyFont="1" applyFill="1" applyBorder="1" applyAlignment="1" applyProtection="1">
      <alignment/>
      <protection hidden="1"/>
    </xf>
    <xf numFmtId="0" fontId="13" fillId="0" borderId="31" xfId="0" applyFont="1" applyFill="1" applyBorder="1" applyAlignment="1" applyProtection="1">
      <alignment/>
      <protection hidden="1"/>
    </xf>
    <xf numFmtId="1" fontId="12" fillId="0" borderId="12" xfId="0" applyNumberFormat="1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>
      <alignment/>
      <protection hidden="1"/>
    </xf>
    <xf numFmtId="0" fontId="29" fillId="0" borderId="11" xfId="0" applyFont="1" applyFill="1" applyBorder="1" applyAlignment="1" applyProtection="1">
      <alignment/>
      <protection hidden="1"/>
    </xf>
    <xf numFmtId="2" fontId="20" fillId="0" borderId="11" xfId="0" applyNumberFormat="1" applyFont="1" applyFill="1" applyBorder="1" applyAlignment="1" applyProtection="1">
      <alignment/>
      <protection hidden="1"/>
    </xf>
    <xf numFmtId="0" fontId="13" fillId="0" borderId="32" xfId="0" applyFont="1" applyFill="1" applyBorder="1" applyAlignment="1" applyProtection="1">
      <alignment/>
      <protection hidden="1"/>
    </xf>
    <xf numFmtId="0" fontId="29" fillId="0" borderId="14" xfId="0" applyFont="1" applyFill="1" applyBorder="1" applyAlignment="1" applyProtection="1">
      <alignment/>
      <protection hidden="1"/>
    </xf>
    <xf numFmtId="2" fontId="12" fillId="0" borderId="14" xfId="0" applyNumberFormat="1" applyFont="1" applyFill="1" applyBorder="1" applyAlignment="1" applyProtection="1">
      <alignment/>
      <protection hidden="1"/>
    </xf>
    <xf numFmtId="0" fontId="30" fillId="0" borderId="23" xfId="0" applyFont="1" applyFill="1" applyBorder="1" applyAlignment="1" applyProtection="1">
      <alignment/>
      <protection hidden="1"/>
    </xf>
    <xf numFmtId="180" fontId="20" fillId="0" borderId="15" xfId="0" applyNumberFormat="1" applyFont="1" applyFill="1" applyBorder="1" applyAlignment="1" applyProtection="1">
      <alignment/>
      <protection hidden="1"/>
    </xf>
    <xf numFmtId="0" fontId="13" fillId="0" borderId="33" xfId="0" applyFont="1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/>
      <protection hidden="1"/>
    </xf>
    <xf numFmtId="0" fontId="38" fillId="0" borderId="13" xfId="0" applyFont="1" applyFill="1" applyBorder="1" applyAlignment="1" applyProtection="1">
      <alignment/>
      <protection hidden="1"/>
    </xf>
    <xf numFmtId="2" fontId="20" fillId="0" borderId="13" xfId="0" applyNumberFormat="1" applyFont="1" applyFill="1" applyBorder="1" applyAlignment="1" applyProtection="1">
      <alignment/>
      <protection hidden="1"/>
    </xf>
    <xf numFmtId="0" fontId="29" fillId="0" borderId="13" xfId="0" applyFont="1" applyFill="1" applyBorder="1" applyAlignment="1" applyProtection="1">
      <alignment/>
      <protection hidden="1"/>
    </xf>
    <xf numFmtId="0" fontId="31" fillId="0" borderId="3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/>
      <protection hidden="1"/>
    </xf>
    <xf numFmtId="0" fontId="37" fillId="0" borderId="13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9" fillId="0" borderId="14" xfId="0" applyFont="1" applyFill="1" applyBorder="1" applyAlignment="1" applyProtection="1">
      <alignment/>
      <protection hidden="1"/>
    </xf>
    <xf numFmtId="0" fontId="13" fillId="0" borderId="15" xfId="0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13" fillId="0" borderId="15" xfId="0" applyFont="1" applyFill="1" applyBorder="1" applyAlignment="1" applyProtection="1">
      <alignment horizontal="left"/>
      <protection hidden="1"/>
    </xf>
    <xf numFmtId="180" fontId="12" fillId="0" borderId="14" xfId="0" applyNumberFormat="1" applyFont="1" applyFill="1" applyBorder="1" applyAlignment="1" applyProtection="1">
      <alignment/>
      <protection hidden="1"/>
    </xf>
    <xf numFmtId="2" fontId="14" fillId="0" borderId="15" xfId="0" applyNumberFormat="1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4" fillId="0" borderId="16" xfId="0" applyFont="1" applyFill="1" applyBorder="1" applyAlignment="1" applyProtection="1">
      <alignment horizontal="right"/>
      <protection hidden="1"/>
    </xf>
    <xf numFmtId="180" fontId="12" fillId="0" borderId="31" xfId="0" applyNumberFormat="1" applyFont="1" applyFill="1" applyBorder="1" applyAlignment="1" applyProtection="1">
      <alignment horizontal="center"/>
      <protection hidden="1"/>
    </xf>
    <xf numFmtId="0" fontId="32" fillId="0" borderId="17" xfId="0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1" fillId="0" borderId="10" xfId="0" applyFont="1" applyFill="1" applyBorder="1" applyAlignment="1" applyProtection="1">
      <alignment/>
      <protection hidden="1"/>
    </xf>
    <xf numFmtId="0" fontId="31" fillId="0" borderId="11" xfId="0" applyFont="1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14" fillId="0" borderId="14" xfId="0" applyFont="1" applyFill="1" applyBorder="1" applyAlignment="1" applyProtection="1">
      <alignment/>
      <protection hidden="1"/>
    </xf>
    <xf numFmtId="0" fontId="34" fillId="0" borderId="15" xfId="0" applyFont="1" applyFill="1" applyBorder="1" applyAlignment="1" applyProtection="1">
      <alignment horizontal="right"/>
      <protection hidden="1"/>
    </xf>
    <xf numFmtId="0" fontId="35" fillId="0" borderId="15" xfId="0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left"/>
      <protection hidden="1"/>
    </xf>
    <xf numFmtId="0" fontId="14" fillId="0" borderId="23" xfId="0" applyFont="1" applyFill="1" applyBorder="1" applyAlignment="1" applyProtection="1">
      <alignment/>
      <protection hidden="1"/>
    </xf>
    <xf numFmtId="0" fontId="14" fillId="0" borderId="16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180" fontId="12" fillId="0" borderId="3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33" fillId="0" borderId="10" xfId="0" applyFont="1" applyFill="1" applyBorder="1" applyAlignment="1" applyProtection="1">
      <alignment/>
      <protection hidden="1"/>
    </xf>
    <xf numFmtId="0" fontId="33" fillId="0" borderId="11" xfId="0" applyFont="1" applyFill="1" applyBorder="1" applyAlignment="1" applyProtection="1">
      <alignment/>
      <protection hidden="1"/>
    </xf>
    <xf numFmtId="180" fontId="12" fillId="0" borderId="11" xfId="0" applyNumberFormat="1" applyFont="1" applyFill="1" applyBorder="1" applyAlignment="1" applyProtection="1">
      <alignment/>
      <protection hidden="1"/>
    </xf>
    <xf numFmtId="0" fontId="14" fillId="0" borderId="11" xfId="0" applyFont="1" applyFill="1" applyBorder="1" applyAlignment="1" applyProtection="1">
      <alignment horizontal="left"/>
      <protection hidden="1"/>
    </xf>
    <xf numFmtId="2" fontId="13" fillId="0" borderId="17" xfId="0" applyNumberFormat="1" applyFont="1" applyFill="1" applyBorder="1" applyAlignment="1" applyProtection="1">
      <alignment horizontal="center"/>
      <protection hidden="1"/>
    </xf>
    <xf numFmtId="2" fontId="13" fillId="0" borderId="16" xfId="0" applyNumberFormat="1" applyFont="1" applyFill="1" applyBorder="1" applyAlignment="1" applyProtection="1">
      <alignment horizontal="right"/>
      <protection hidden="1"/>
    </xf>
    <xf numFmtId="2" fontId="13" fillId="0" borderId="0" xfId="0" applyNumberFormat="1" applyFont="1" applyFill="1" applyBorder="1" applyAlignment="1" applyProtection="1">
      <alignment horizontal="left"/>
      <protection hidden="1"/>
    </xf>
    <xf numFmtId="180" fontId="12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left"/>
      <protection hidden="1"/>
    </xf>
    <xf numFmtId="180" fontId="13" fillId="0" borderId="16" xfId="0" applyNumberFormat="1" applyFont="1" applyFill="1" applyBorder="1" applyAlignment="1" applyProtection="1">
      <alignment horizontal="right"/>
      <protection hidden="1"/>
    </xf>
    <xf numFmtId="0" fontId="30" fillId="0" borderId="11" xfId="0" applyFont="1" applyFill="1" applyBorder="1" applyAlignment="1" applyProtection="1">
      <alignment horizontal="left"/>
      <protection hidden="1"/>
    </xf>
    <xf numFmtId="0" fontId="9" fillId="37" borderId="0" xfId="0" applyFont="1" applyFill="1" applyBorder="1" applyAlignment="1" applyProtection="1">
      <alignment/>
      <protection hidden="1"/>
    </xf>
    <xf numFmtId="0" fontId="9" fillId="37" borderId="0" xfId="0" applyFont="1" applyFill="1" applyAlignment="1" applyProtection="1">
      <alignment/>
      <protection hidden="1"/>
    </xf>
    <xf numFmtId="0" fontId="23" fillId="38" borderId="0" xfId="0" applyFont="1" applyFill="1" applyBorder="1" applyAlignment="1" applyProtection="1">
      <alignment/>
      <protection hidden="1"/>
    </xf>
    <xf numFmtId="0" fontId="23" fillId="38" borderId="0" xfId="0" applyFont="1" applyFill="1" applyAlignment="1" applyProtection="1">
      <alignment/>
      <protection hidden="1"/>
    </xf>
    <xf numFmtId="0" fontId="9" fillId="38" borderId="0" xfId="0" applyFont="1" applyFill="1" applyBorder="1" applyAlignment="1" applyProtection="1">
      <alignment/>
      <protection hidden="1"/>
    </xf>
    <xf numFmtId="0" fontId="9" fillId="38" borderId="0" xfId="0" applyFont="1" applyFill="1" applyAlignment="1" applyProtection="1">
      <alignment/>
      <protection hidden="1"/>
    </xf>
    <xf numFmtId="0" fontId="9" fillId="39" borderId="0" xfId="0" applyFont="1" applyFill="1" applyAlignment="1" applyProtection="1">
      <alignment/>
      <protection hidden="1"/>
    </xf>
    <xf numFmtId="0" fontId="13" fillId="39" borderId="0" xfId="0" applyFont="1" applyFill="1" applyAlignment="1" applyProtection="1">
      <alignment/>
      <protection hidden="1"/>
    </xf>
    <xf numFmtId="0" fontId="44" fillId="39" borderId="0" xfId="0" applyFont="1" applyFill="1" applyBorder="1" applyAlignment="1" applyProtection="1">
      <alignment horizontal="right"/>
      <protection hidden="1"/>
    </xf>
    <xf numFmtId="0" fontId="43" fillId="39" borderId="0" xfId="0" applyFont="1" applyFill="1" applyBorder="1" applyAlignment="1" applyProtection="1">
      <alignment horizontal="right"/>
      <protection hidden="1"/>
    </xf>
    <xf numFmtId="0" fontId="36" fillId="39" borderId="0" xfId="0" applyFont="1" applyFill="1" applyBorder="1" applyAlignment="1" applyProtection="1">
      <alignment/>
      <protection hidden="1"/>
    </xf>
    <xf numFmtId="0" fontId="36" fillId="39" borderId="0" xfId="0" applyFont="1" applyFill="1" applyBorder="1" applyAlignment="1" applyProtection="1">
      <alignment horizontal="right"/>
      <protection hidden="1"/>
    </xf>
    <xf numFmtId="0" fontId="23" fillId="39" borderId="0" xfId="0" applyFont="1" applyFill="1" applyBorder="1" applyAlignment="1" applyProtection="1">
      <alignment/>
      <protection hidden="1"/>
    </xf>
    <xf numFmtId="0" fontId="33" fillId="39" borderId="0" xfId="0" applyFont="1" applyFill="1" applyBorder="1" applyAlignment="1" applyProtection="1">
      <alignment/>
      <protection hidden="1"/>
    </xf>
    <xf numFmtId="0" fontId="33" fillId="39" borderId="0" xfId="0" applyFont="1" applyFill="1" applyBorder="1" applyAlignment="1" applyProtection="1">
      <alignment horizontal="right"/>
      <protection hidden="1"/>
    </xf>
    <xf numFmtId="0" fontId="9" fillId="39" borderId="0" xfId="0" applyFont="1" applyFill="1" applyBorder="1" applyAlignment="1" applyProtection="1">
      <alignment/>
      <protection hidden="1"/>
    </xf>
    <xf numFmtId="11" fontId="11" fillId="39" borderId="0" xfId="0" applyNumberFormat="1" applyFont="1" applyFill="1" applyBorder="1" applyAlignment="1" applyProtection="1">
      <alignment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181" fontId="30" fillId="39" borderId="0" xfId="0" applyNumberFormat="1" applyFont="1" applyFill="1" applyBorder="1" applyAlignment="1" applyProtection="1">
      <alignment horizontal="center"/>
      <protection hidden="1"/>
    </xf>
    <xf numFmtId="0" fontId="14" fillId="39" borderId="0" xfId="0" applyFont="1" applyFill="1" applyBorder="1" applyAlignment="1" applyProtection="1">
      <alignment/>
      <protection hidden="1"/>
    </xf>
    <xf numFmtId="0" fontId="53" fillId="39" borderId="0" xfId="0" applyFont="1" applyFill="1" applyBorder="1" applyAlignment="1" applyProtection="1">
      <alignment horizontal="center"/>
      <protection hidden="1"/>
    </xf>
    <xf numFmtId="11" fontId="15" fillId="39" borderId="0" xfId="0" applyNumberFormat="1" applyFont="1" applyFill="1" applyBorder="1" applyAlignment="1" applyProtection="1">
      <alignment/>
      <protection hidden="1"/>
    </xf>
    <xf numFmtId="0" fontId="23" fillId="39" borderId="0" xfId="0" applyFont="1" applyFill="1" applyAlignment="1" applyProtection="1">
      <alignment/>
      <protection hidden="1"/>
    </xf>
    <xf numFmtId="0" fontId="5" fillId="39" borderId="0" xfId="0" applyFont="1" applyFill="1" applyBorder="1" applyAlignment="1" applyProtection="1">
      <alignment horizontal="right"/>
      <protection hidden="1"/>
    </xf>
    <xf numFmtId="0" fontId="4" fillId="39" borderId="0" xfId="0" applyFont="1" applyFill="1" applyBorder="1" applyAlignment="1" applyProtection="1">
      <alignment horizontal="center"/>
      <protection hidden="1"/>
    </xf>
    <xf numFmtId="0" fontId="5" fillId="39" borderId="0" xfId="0" applyFont="1" applyFill="1" applyBorder="1" applyAlignment="1" applyProtection="1">
      <alignment/>
      <protection hidden="1"/>
    </xf>
    <xf numFmtId="15" fontId="35" fillId="39" borderId="0" xfId="0" applyNumberFormat="1" applyFont="1" applyFill="1" applyBorder="1" applyAlignment="1" applyProtection="1">
      <alignment horizontal="left"/>
      <protection hidden="1"/>
    </xf>
    <xf numFmtId="0" fontId="30" fillId="39" borderId="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/>
      <protection hidden="1"/>
    </xf>
    <xf numFmtId="0" fontId="25" fillId="39" borderId="0" xfId="0" applyFont="1" applyFill="1" applyBorder="1" applyAlignment="1" applyProtection="1">
      <alignment horizontal="left"/>
      <protection hidden="1"/>
    </xf>
    <xf numFmtId="0" fontId="20" fillId="39" borderId="0" xfId="0" applyFont="1" applyFill="1" applyBorder="1" applyAlignment="1" applyProtection="1">
      <alignment/>
      <protection hidden="1"/>
    </xf>
    <xf numFmtId="0" fontId="25" fillId="39" borderId="0" xfId="0" applyFont="1" applyFill="1" applyBorder="1" applyAlignment="1" applyProtection="1">
      <alignment horizontal="center"/>
      <protection hidden="1"/>
    </xf>
    <xf numFmtId="0" fontId="26" fillId="39" borderId="0" xfId="0" applyFont="1" applyFill="1" applyBorder="1" applyAlignment="1" applyProtection="1">
      <alignment/>
      <protection hidden="1"/>
    </xf>
    <xf numFmtId="0" fontId="52" fillId="39" borderId="0" xfId="0" applyFont="1" applyFill="1" applyBorder="1" applyAlignment="1" applyProtection="1">
      <alignment horizontal="right"/>
      <protection hidden="1"/>
    </xf>
    <xf numFmtId="0" fontId="29" fillId="39" borderId="13" xfId="0" applyFont="1" applyFill="1" applyBorder="1" applyAlignment="1" applyProtection="1">
      <alignment/>
      <protection hidden="1"/>
    </xf>
    <xf numFmtId="0" fontId="9" fillId="39" borderId="13" xfId="0" applyFont="1" applyFill="1" applyBorder="1" applyAlignment="1" applyProtection="1">
      <alignment/>
      <protection hidden="1"/>
    </xf>
    <xf numFmtId="2" fontId="30" fillId="39" borderId="13" xfId="0" applyNumberFormat="1" applyFont="1" applyFill="1" applyBorder="1" applyAlignment="1" applyProtection="1">
      <alignment horizontal="right"/>
      <protection hidden="1"/>
    </xf>
    <xf numFmtId="0" fontId="20" fillId="39" borderId="13" xfId="0" applyFont="1" applyFill="1" applyBorder="1" applyAlignment="1" applyProtection="1">
      <alignment horizontal="left"/>
      <protection hidden="1"/>
    </xf>
    <xf numFmtId="0" fontId="19" fillId="39" borderId="13" xfId="0" applyFont="1" applyFill="1" applyBorder="1" applyAlignment="1" applyProtection="1">
      <alignment horizontal="left"/>
      <protection hidden="1"/>
    </xf>
    <xf numFmtId="0" fontId="14" fillId="39" borderId="13" xfId="0" applyFont="1" applyFill="1" applyBorder="1" applyAlignment="1" applyProtection="1">
      <alignment/>
      <protection hidden="1"/>
    </xf>
    <xf numFmtId="180" fontId="30" fillId="39" borderId="13" xfId="0" applyNumberFormat="1" applyFont="1" applyFill="1" applyBorder="1" applyAlignment="1" applyProtection="1">
      <alignment/>
      <protection hidden="1"/>
    </xf>
    <xf numFmtId="0" fontId="20" fillId="39" borderId="13" xfId="0" applyFont="1" applyFill="1" applyBorder="1" applyAlignment="1" applyProtection="1">
      <alignment/>
      <protection hidden="1"/>
    </xf>
    <xf numFmtId="0" fontId="9" fillId="39" borderId="13" xfId="0" applyFont="1" applyFill="1" applyBorder="1" applyAlignment="1" applyProtection="1">
      <alignment horizontal="left"/>
      <protection hidden="1"/>
    </xf>
    <xf numFmtId="0" fontId="13" fillId="39" borderId="13" xfId="0" applyFont="1" applyFill="1" applyBorder="1" applyAlignment="1" applyProtection="1">
      <alignment horizontal="right"/>
      <protection hidden="1"/>
    </xf>
    <xf numFmtId="0" fontId="9" fillId="39" borderId="0" xfId="0" applyFont="1" applyFill="1" applyBorder="1" applyAlignment="1" applyProtection="1">
      <alignment/>
      <protection hidden="1"/>
    </xf>
    <xf numFmtId="0" fontId="9" fillId="39" borderId="11" xfId="0" applyFont="1" applyFill="1" applyBorder="1" applyAlignment="1" applyProtection="1">
      <alignment/>
      <protection hidden="1"/>
    </xf>
    <xf numFmtId="2" fontId="30" fillId="39" borderId="11" xfId="0" applyNumberFormat="1" applyFont="1" applyFill="1" applyBorder="1" applyAlignment="1" applyProtection="1">
      <alignment horizontal="right"/>
      <protection hidden="1"/>
    </xf>
    <xf numFmtId="0" fontId="20" fillId="39" borderId="0" xfId="0" applyFont="1" applyFill="1" applyBorder="1" applyAlignment="1" applyProtection="1">
      <alignment horizontal="left"/>
      <protection hidden="1"/>
    </xf>
    <xf numFmtId="0" fontId="19" fillId="39" borderId="11" xfId="0" applyFont="1" applyFill="1" applyBorder="1" applyAlignment="1" applyProtection="1">
      <alignment horizontal="left"/>
      <protection hidden="1"/>
    </xf>
    <xf numFmtId="2" fontId="30" fillId="39" borderId="11" xfId="0" applyNumberFormat="1" applyFont="1" applyFill="1" applyBorder="1" applyAlignment="1" applyProtection="1">
      <alignment/>
      <protection hidden="1"/>
    </xf>
    <xf numFmtId="0" fontId="20" fillId="39" borderId="11" xfId="0" applyFont="1" applyFill="1" applyBorder="1" applyAlignment="1" applyProtection="1">
      <alignment/>
      <protection hidden="1"/>
    </xf>
    <xf numFmtId="0" fontId="9" fillId="39" borderId="11" xfId="0" applyFont="1" applyFill="1" applyBorder="1" applyAlignment="1" applyProtection="1">
      <alignment horizontal="left"/>
      <protection hidden="1"/>
    </xf>
    <xf numFmtId="0" fontId="13" fillId="39" borderId="11" xfId="0" applyFont="1" applyFill="1" applyBorder="1" applyAlignment="1" applyProtection="1">
      <alignment horizontal="right"/>
      <protection hidden="1"/>
    </xf>
    <xf numFmtId="0" fontId="20" fillId="39" borderId="15" xfId="0" applyFont="1" applyFill="1" applyBorder="1" applyAlignment="1" applyProtection="1">
      <alignment horizontal="left"/>
      <protection hidden="1"/>
    </xf>
    <xf numFmtId="2" fontId="30" fillId="39" borderId="13" xfId="0" applyNumberFormat="1" applyFont="1" applyFill="1" applyBorder="1" applyAlignment="1" applyProtection="1">
      <alignment/>
      <protection hidden="1"/>
    </xf>
    <xf numFmtId="0" fontId="29" fillId="39" borderId="11" xfId="0" applyFont="1" applyFill="1" applyBorder="1" applyAlignment="1" applyProtection="1">
      <alignment/>
      <protection hidden="1"/>
    </xf>
    <xf numFmtId="0" fontId="38" fillId="39" borderId="16" xfId="0" applyFont="1" applyFill="1" applyBorder="1" applyAlignment="1" applyProtection="1">
      <alignment horizontal="right"/>
      <protection hidden="1"/>
    </xf>
    <xf numFmtId="0" fontId="38" fillId="39" borderId="0" xfId="0" applyFont="1" applyFill="1" applyBorder="1" applyAlignment="1" applyProtection="1">
      <alignment horizontal="right"/>
      <protection hidden="1"/>
    </xf>
    <xf numFmtId="0" fontId="13" fillId="39" borderId="0" xfId="0" applyFont="1" applyFill="1" applyBorder="1" applyAlignment="1" applyProtection="1">
      <alignment/>
      <protection hidden="1"/>
    </xf>
    <xf numFmtId="2" fontId="30" fillId="39" borderId="0" xfId="0" applyNumberFormat="1" applyFont="1" applyFill="1" applyBorder="1" applyAlignment="1" applyProtection="1">
      <alignment horizontal="right"/>
      <protection hidden="1"/>
    </xf>
    <xf numFmtId="0" fontId="19" fillId="39" borderId="0" xfId="0" applyFont="1" applyFill="1" applyBorder="1" applyAlignment="1" applyProtection="1">
      <alignment horizontal="left"/>
      <protection hidden="1"/>
    </xf>
    <xf numFmtId="180" fontId="30" fillId="39" borderId="0" xfId="0" applyNumberFormat="1" applyFont="1" applyFill="1" applyBorder="1" applyAlignment="1" applyProtection="1">
      <alignment/>
      <protection hidden="1"/>
    </xf>
    <xf numFmtId="0" fontId="9" fillId="39" borderId="0" xfId="0" applyFont="1" applyFill="1" applyBorder="1" applyAlignment="1" applyProtection="1">
      <alignment horizontal="left"/>
      <protection hidden="1"/>
    </xf>
    <xf numFmtId="2" fontId="30" fillId="39" borderId="0" xfId="0" applyNumberFormat="1" applyFont="1" applyFill="1" applyBorder="1" applyAlignment="1" applyProtection="1">
      <alignment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3" fillId="39" borderId="17" xfId="0" applyFont="1" applyFill="1" applyBorder="1" applyAlignment="1" applyProtection="1">
      <alignment horizontal="right"/>
      <protection hidden="1"/>
    </xf>
    <xf numFmtId="2" fontId="30" fillId="39" borderId="16" xfId="0" applyNumberFormat="1" applyFont="1" applyFill="1" applyBorder="1" applyAlignment="1" applyProtection="1">
      <alignment/>
      <protection hidden="1"/>
    </xf>
    <xf numFmtId="0" fontId="20" fillId="39" borderId="17" xfId="0" applyFont="1" applyFill="1" applyBorder="1" applyAlignment="1" applyProtection="1">
      <alignment/>
      <protection hidden="1"/>
    </xf>
    <xf numFmtId="2" fontId="30" fillId="39" borderId="16" xfId="0" applyNumberFormat="1" applyFont="1" applyFill="1" applyBorder="1" applyAlignment="1" applyProtection="1">
      <alignment horizontal="right"/>
      <protection hidden="1"/>
    </xf>
    <xf numFmtId="0" fontId="9" fillId="0" borderId="23" xfId="0" applyFont="1" applyFill="1" applyBorder="1" applyAlignment="1" applyProtection="1">
      <alignment horizontal="right"/>
      <protection hidden="1"/>
    </xf>
    <xf numFmtId="0" fontId="9" fillId="0" borderId="22" xfId="0" applyFont="1" applyFill="1" applyBorder="1" applyAlignment="1" applyProtection="1">
      <alignment horizontal="right"/>
      <protection hidden="1"/>
    </xf>
    <xf numFmtId="0" fontId="9" fillId="37" borderId="13" xfId="0" applyFont="1" applyFill="1" applyBorder="1" applyAlignment="1" applyProtection="1">
      <alignment/>
      <protection hidden="1"/>
    </xf>
    <xf numFmtId="0" fontId="20" fillId="37" borderId="13" xfId="0" applyFont="1" applyFill="1" applyBorder="1" applyAlignment="1" applyProtection="1">
      <alignment horizontal="left"/>
      <protection hidden="1"/>
    </xf>
    <xf numFmtId="0" fontId="13" fillId="37" borderId="13" xfId="0" applyFont="1" applyFill="1" applyBorder="1" applyAlignment="1" applyProtection="1">
      <alignment/>
      <protection hidden="1"/>
    </xf>
    <xf numFmtId="0" fontId="13" fillId="37" borderId="13" xfId="0" applyFont="1" applyFill="1" applyBorder="1" applyAlignment="1" applyProtection="1">
      <alignment horizontal="right"/>
      <protection hidden="1"/>
    </xf>
    <xf numFmtId="0" fontId="20" fillId="0" borderId="13" xfId="0" applyFont="1" applyFill="1" applyBorder="1" applyAlignment="1" applyProtection="1">
      <alignment horizontal="left"/>
      <protection hidden="1"/>
    </xf>
    <xf numFmtId="0" fontId="20" fillId="0" borderId="13" xfId="0" applyFont="1" applyFill="1" applyBorder="1" applyAlignment="1" applyProtection="1">
      <alignment horizontal="right"/>
      <protection hidden="1"/>
    </xf>
    <xf numFmtId="0" fontId="20" fillId="37" borderId="13" xfId="0" applyFont="1" applyFill="1" applyBorder="1" applyAlignment="1" applyProtection="1">
      <alignment horizontal="right"/>
      <protection hidden="1"/>
    </xf>
    <xf numFmtId="0" fontId="42" fillId="0" borderId="12" xfId="0" applyFont="1" applyFill="1" applyBorder="1" applyAlignment="1" applyProtection="1">
      <alignment/>
      <protection hidden="1"/>
    </xf>
    <xf numFmtId="0" fontId="56" fillId="0" borderId="13" xfId="0" applyFont="1" applyFill="1" applyBorder="1" applyAlignment="1" applyProtection="1">
      <alignment/>
      <protection hidden="1"/>
    </xf>
    <xf numFmtId="0" fontId="56" fillId="0" borderId="24" xfId="0" applyFont="1" applyFill="1" applyBorder="1" applyAlignment="1" applyProtection="1">
      <alignment horizontal="right"/>
      <protection hidden="1"/>
    </xf>
    <xf numFmtId="0" fontId="57" fillId="40" borderId="12" xfId="0" applyFont="1" applyFill="1" applyBorder="1" applyAlignment="1" applyProtection="1">
      <alignment/>
      <protection hidden="1"/>
    </xf>
    <xf numFmtId="0" fontId="26" fillId="40" borderId="13" xfId="0" applyFont="1" applyFill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0" fontId="30" fillId="0" borderId="13" xfId="0" applyFont="1" applyFill="1" applyBorder="1" applyAlignment="1" applyProtection="1">
      <alignment horizontal="left"/>
      <protection hidden="1"/>
    </xf>
    <xf numFmtId="0" fontId="30" fillId="37" borderId="13" xfId="0" applyFont="1" applyFill="1" applyBorder="1" applyAlignment="1" applyProtection="1">
      <alignment/>
      <protection hidden="1"/>
    </xf>
    <xf numFmtId="0" fontId="23" fillId="37" borderId="0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left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36" fillId="34" borderId="0" xfId="0" applyFont="1" applyFill="1" applyBorder="1" applyAlignment="1" applyProtection="1">
      <alignment/>
      <protection hidden="1"/>
    </xf>
    <xf numFmtId="0" fontId="33" fillId="34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/>
      <protection hidden="1"/>
    </xf>
    <xf numFmtId="11" fontId="11" fillId="34" borderId="0" xfId="0" applyNumberFormat="1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37" fillId="0" borderId="14" xfId="0" applyFont="1" applyFill="1" applyBorder="1" applyAlignment="1" applyProtection="1">
      <alignment/>
      <protection hidden="1"/>
    </xf>
    <xf numFmtId="0" fontId="37" fillId="0" borderId="15" xfId="0" applyFont="1" applyFill="1" applyBorder="1" applyAlignment="1" applyProtection="1">
      <alignment/>
      <protection hidden="1"/>
    </xf>
    <xf numFmtId="180" fontId="30" fillId="0" borderId="14" xfId="0" applyNumberFormat="1" applyFont="1" applyFill="1" applyBorder="1" applyAlignment="1" applyProtection="1">
      <alignment/>
      <protection hidden="1"/>
    </xf>
    <xf numFmtId="180" fontId="20" fillId="0" borderId="14" xfId="0" applyNumberFormat="1" applyFont="1" applyFill="1" applyBorder="1" applyAlignment="1" applyProtection="1">
      <alignment/>
      <protection hidden="1"/>
    </xf>
    <xf numFmtId="0" fontId="20" fillId="0" borderId="23" xfId="0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 horizontal="left"/>
      <protection hidden="1"/>
    </xf>
    <xf numFmtId="0" fontId="13" fillId="0" borderId="11" xfId="0" applyFont="1" applyFill="1" applyBorder="1" applyAlignment="1" applyProtection="1">
      <alignment horizontal="left"/>
      <protection hidden="1"/>
    </xf>
    <xf numFmtId="0" fontId="30" fillId="0" borderId="15" xfId="0" applyFont="1" applyFill="1" applyBorder="1" applyAlignment="1" applyProtection="1">
      <alignment/>
      <protection hidden="1"/>
    </xf>
    <xf numFmtId="0" fontId="13" fillId="0" borderId="23" xfId="0" applyFont="1" applyFill="1" applyBorder="1" applyAlignment="1" applyProtection="1">
      <alignment horizontal="right"/>
      <protection hidden="1"/>
    </xf>
    <xf numFmtId="0" fontId="37" fillId="0" borderId="16" xfId="0" applyFont="1" applyFill="1" applyBorder="1" applyAlignment="1" applyProtection="1">
      <alignment/>
      <protection hidden="1"/>
    </xf>
    <xf numFmtId="0" fontId="30" fillId="0" borderId="17" xfId="0" applyFont="1" applyFill="1" applyBorder="1" applyAlignment="1" applyProtection="1">
      <alignment/>
      <protection hidden="1"/>
    </xf>
    <xf numFmtId="0" fontId="13" fillId="0" borderId="17" xfId="0" applyFont="1" applyFill="1" applyBorder="1" applyAlignment="1" applyProtection="1">
      <alignment horizontal="right"/>
      <protection hidden="1"/>
    </xf>
    <xf numFmtId="0" fontId="13" fillId="0" borderId="22" xfId="0" applyFont="1" applyFill="1" applyBorder="1" applyAlignment="1" applyProtection="1">
      <alignment horizontal="right"/>
      <protection hidden="1"/>
    </xf>
    <xf numFmtId="0" fontId="19" fillId="0" borderId="34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180" fontId="30" fillId="0" borderId="12" xfId="0" applyNumberFormat="1" applyFont="1" applyFill="1" applyBorder="1" applyAlignment="1" applyProtection="1">
      <alignment/>
      <protection hidden="1"/>
    </xf>
    <xf numFmtId="180" fontId="42" fillId="0" borderId="24" xfId="0" applyNumberFormat="1" applyFont="1" applyFill="1" applyBorder="1" applyAlignment="1" applyProtection="1">
      <alignment/>
      <protection hidden="1"/>
    </xf>
    <xf numFmtId="180" fontId="9" fillId="0" borderId="12" xfId="0" applyNumberFormat="1" applyFont="1" applyFill="1" applyBorder="1" applyAlignment="1" applyProtection="1">
      <alignment horizontal="left"/>
      <protection hidden="1"/>
    </xf>
    <xf numFmtId="2" fontId="30" fillId="0" borderId="12" xfId="0" applyNumberFormat="1" applyFont="1" applyFill="1" applyBorder="1" applyAlignment="1" applyProtection="1">
      <alignment/>
      <protection hidden="1"/>
    </xf>
    <xf numFmtId="180" fontId="20" fillId="0" borderId="12" xfId="0" applyNumberFormat="1" applyFont="1" applyFill="1" applyBorder="1" applyAlignment="1" applyProtection="1">
      <alignment/>
      <protection hidden="1"/>
    </xf>
    <xf numFmtId="180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180" fontId="19" fillId="0" borderId="0" xfId="0" applyNumberFormat="1" applyFont="1" applyFill="1" applyBorder="1" applyAlignment="1" applyProtection="1">
      <alignment/>
      <protection hidden="1"/>
    </xf>
    <xf numFmtId="0" fontId="44" fillId="0" borderId="20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 horizontal="left"/>
      <protection hidden="1"/>
    </xf>
    <xf numFmtId="0" fontId="56" fillId="0" borderId="13" xfId="0" applyFont="1" applyFill="1" applyBorder="1" applyAlignment="1" applyProtection="1">
      <alignment horizontal="left"/>
      <protection hidden="1"/>
    </xf>
    <xf numFmtId="180" fontId="20" fillId="0" borderId="10" xfId="0" applyNumberFormat="1" applyFont="1" applyFill="1" applyBorder="1" applyAlignment="1" applyProtection="1">
      <alignment/>
      <protection hidden="1"/>
    </xf>
    <xf numFmtId="0" fontId="61" fillId="35" borderId="0" xfId="0" applyFont="1" applyFill="1" applyBorder="1" applyAlignment="1" applyProtection="1">
      <alignment horizontal="left"/>
      <protection hidden="1"/>
    </xf>
    <xf numFmtId="0" fontId="62" fillId="35" borderId="0" xfId="0" applyFont="1" applyFill="1" applyAlignment="1" applyProtection="1">
      <alignment/>
      <protection hidden="1"/>
    </xf>
    <xf numFmtId="0" fontId="36" fillId="35" borderId="0" xfId="0" applyFont="1" applyFill="1" applyBorder="1" applyAlignment="1" applyProtection="1">
      <alignment horizontal="right"/>
      <protection hidden="1"/>
    </xf>
    <xf numFmtId="0" fontId="31" fillId="0" borderId="10" xfId="0" applyFont="1" applyFill="1" applyBorder="1" applyAlignment="1" applyProtection="1">
      <alignment horizontal="center"/>
      <protection hidden="1"/>
    </xf>
    <xf numFmtId="0" fontId="31" fillId="0" borderId="15" xfId="0" applyFont="1" applyFill="1" applyBorder="1" applyAlignment="1" applyProtection="1">
      <alignment horizontal="center"/>
      <protection hidden="1"/>
    </xf>
    <xf numFmtId="0" fontId="12" fillId="35" borderId="0" xfId="0" applyFont="1" applyFill="1" applyBorder="1" applyAlignment="1" applyProtection="1">
      <alignment horizontal="right"/>
      <protection hidden="1"/>
    </xf>
    <xf numFmtId="0" fontId="9" fillId="37" borderId="15" xfId="0" applyFont="1" applyFill="1" applyBorder="1" applyAlignment="1" applyProtection="1">
      <alignment/>
      <protection hidden="1"/>
    </xf>
    <xf numFmtId="0" fontId="30" fillId="37" borderId="15" xfId="0" applyFont="1" applyFill="1" applyBorder="1" applyAlignment="1" applyProtection="1">
      <alignment/>
      <protection hidden="1"/>
    </xf>
    <xf numFmtId="0" fontId="20" fillId="37" borderId="15" xfId="0" applyFont="1" applyFill="1" applyBorder="1" applyAlignment="1" applyProtection="1">
      <alignment horizontal="right"/>
      <protection hidden="1"/>
    </xf>
    <xf numFmtId="0" fontId="20" fillId="37" borderId="15" xfId="0" applyFont="1" applyFill="1" applyBorder="1" applyAlignment="1" applyProtection="1">
      <alignment horizontal="left"/>
      <protection hidden="1"/>
    </xf>
    <xf numFmtId="0" fontId="13" fillId="37" borderId="15" xfId="0" applyFont="1" applyFill="1" applyBorder="1" applyAlignment="1" applyProtection="1">
      <alignment/>
      <protection hidden="1"/>
    </xf>
    <xf numFmtId="0" fontId="13" fillId="37" borderId="15" xfId="0" applyFont="1" applyFill="1" applyBorder="1" applyAlignment="1" applyProtection="1">
      <alignment horizontal="right"/>
      <protection hidden="1"/>
    </xf>
    <xf numFmtId="0" fontId="30" fillId="37" borderId="0" xfId="0" applyFont="1" applyFill="1" applyBorder="1" applyAlignment="1" applyProtection="1">
      <alignment/>
      <protection hidden="1"/>
    </xf>
    <xf numFmtId="0" fontId="20" fillId="37" borderId="0" xfId="0" applyFont="1" applyFill="1" applyBorder="1" applyAlignment="1" applyProtection="1">
      <alignment horizontal="right"/>
      <protection hidden="1"/>
    </xf>
    <xf numFmtId="0" fontId="20" fillId="37" borderId="0" xfId="0" applyFont="1" applyFill="1" applyBorder="1" applyAlignment="1" applyProtection="1">
      <alignment horizontal="left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44" fillId="37" borderId="0" xfId="0" applyFont="1" applyFill="1" applyBorder="1" applyAlignment="1" applyProtection="1">
      <alignment/>
      <protection hidden="1"/>
    </xf>
    <xf numFmtId="0" fontId="60" fillId="37" borderId="0" xfId="0" applyFont="1" applyFill="1" applyBorder="1" applyAlignment="1" applyProtection="1">
      <alignment/>
      <protection hidden="1"/>
    </xf>
    <xf numFmtId="0" fontId="65" fillId="35" borderId="0" xfId="0" applyFont="1" applyFill="1" applyBorder="1" applyAlignment="1" applyProtection="1">
      <alignment horizontal="right"/>
      <protection hidden="1"/>
    </xf>
    <xf numFmtId="15" fontId="36" fillId="35" borderId="0" xfId="0" applyNumberFormat="1" applyFont="1" applyFill="1" applyBorder="1" applyAlignment="1" applyProtection="1">
      <alignment horizontal="center"/>
      <protection hidden="1"/>
    </xf>
    <xf numFmtId="2" fontId="13" fillId="0" borderId="16" xfId="0" applyNumberFormat="1" applyFont="1" applyFill="1" applyBorder="1" applyAlignment="1" applyProtection="1">
      <alignment horizontal="left"/>
      <protection hidden="1"/>
    </xf>
    <xf numFmtId="181" fontId="19" fillId="0" borderId="11" xfId="0" applyNumberFormat="1" applyFont="1" applyFill="1" applyBorder="1" applyAlignment="1" applyProtection="1">
      <alignment/>
      <protection hidden="1"/>
    </xf>
    <xf numFmtId="0" fontId="22" fillId="41" borderId="12" xfId="0" applyFont="1" applyFill="1" applyBorder="1" applyAlignment="1" applyProtection="1">
      <alignment/>
      <protection hidden="1"/>
    </xf>
    <xf numFmtId="0" fontId="23" fillId="41" borderId="13" xfId="0" applyFont="1" applyFill="1" applyBorder="1" applyAlignment="1" applyProtection="1">
      <alignment/>
      <protection hidden="1"/>
    </xf>
    <xf numFmtId="0" fontId="22" fillId="41" borderId="13" xfId="0" applyFont="1" applyFill="1" applyBorder="1" applyAlignment="1" applyProtection="1">
      <alignment/>
      <protection hidden="1"/>
    </xf>
    <xf numFmtId="0" fontId="51" fillId="41" borderId="13" xfId="0" applyFont="1" applyFill="1" applyBorder="1" applyAlignment="1" applyProtection="1">
      <alignment horizontal="left"/>
      <protection hidden="1"/>
    </xf>
    <xf numFmtId="0" fontId="25" fillId="41" borderId="13" xfId="0" applyFont="1" applyFill="1" applyBorder="1" applyAlignment="1" applyProtection="1">
      <alignment/>
      <protection hidden="1"/>
    </xf>
    <xf numFmtId="0" fontId="20" fillId="41" borderId="13" xfId="0" applyFont="1" applyFill="1" applyBorder="1" applyAlignment="1" applyProtection="1">
      <alignment/>
      <protection hidden="1"/>
    </xf>
    <xf numFmtId="0" fontId="25" fillId="41" borderId="13" xfId="0" applyFont="1" applyFill="1" applyBorder="1" applyAlignment="1" applyProtection="1">
      <alignment horizontal="center"/>
      <protection hidden="1"/>
    </xf>
    <xf numFmtId="0" fontId="22" fillId="41" borderId="12" xfId="0" applyFont="1" applyFill="1" applyBorder="1" applyAlignment="1" applyProtection="1">
      <alignment/>
      <protection hidden="1"/>
    </xf>
    <xf numFmtId="0" fontId="22" fillId="41" borderId="13" xfId="0" applyFont="1" applyFill="1" applyBorder="1" applyAlignment="1" applyProtection="1">
      <alignment/>
      <protection hidden="1"/>
    </xf>
    <xf numFmtId="0" fontId="23" fillId="41" borderId="13" xfId="0" applyFont="1" applyFill="1" applyBorder="1" applyAlignment="1" applyProtection="1">
      <alignment/>
      <protection hidden="1"/>
    </xf>
    <xf numFmtId="0" fontId="25" fillId="41" borderId="13" xfId="0" applyFont="1" applyFill="1" applyBorder="1" applyAlignment="1" applyProtection="1">
      <alignment/>
      <protection hidden="1"/>
    </xf>
    <xf numFmtId="0" fontId="26" fillId="41" borderId="13" xfId="0" applyFont="1" applyFill="1" applyBorder="1" applyAlignment="1" applyProtection="1">
      <alignment/>
      <protection hidden="1"/>
    </xf>
    <xf numFmtId="0" fontId="58" fillId="41" borderId="13" xfId="0" applyFont="1" applyFill="1" applyBorder="1" applyAlignment="1" applyProtection="1">
      <alignment/>
      <protection hidden="1"/>
    </xf>
    <xf numFmtId="0" fontId="28" fillId="41" borderId="13" xfId="0" applyFont="1" applyFill="1" applyBorder="1" applyAlignment="1" applyProtection="1">
      <alignment/>
      <protection hidden="1"/>
    </xf>
    <xf numFmtId="0" fontId="57" fillId="41" borderId="13" xfId="0" applyFont="1" applyFill="1" applyBorder="1" applyAlignment="1" applyProtection="1">
      <alignment horizontal="left"/>
      <protection hidden="1"/>
    </xf>
    <xf numFmtId="2" fontId="30" fillId="0" borderId="10" xfId="0" applyNumberFormat="1" applyFont="1" applyFill="1" applyBorder="1" applyAlignment="1" applyProtection="1">
      <alignment/>
      <protection hidden="1"/>
    </xf>
    <xf numFmtId="2" fontId="30" fillId="0" borderId="16" xfId="0" applyNumberFormat="1" applyFont="1" applyFill="1" applyBorder="1" applyAlignment="1" applyProtection="1">
      <alignment/>
      <protection hidden="1"/>
    </xf>
    <xf numFmtId="0" fontId="9" fillId="0" borderId="12" xfId="0" applyFont="1" applyFill="1" applyBorder="1" applyAlignment="1" applyProtection="1">
      <alignment horizontal="right"/>
      <protection hidden="1"/>
    </xf>
    <xf numFmtId="0" fontId="44" fillId="0" borderId="0" xfId="0" applyFont="1" applyFill="1" applyBorder="1" applyAlignment="1" applyProtection="1">
      <alignment horizontal="right"/>
      <protection hidden="1"/>
    </xf>
    <xf numFmtId="0" fontId="25" fillId="41" borderId="13" xfId="0" applyFont="1" applyFill="1" applyBorder="1" applyAlignment="1" applyProtection="1">
      <alignment horizontal="right"/>
      <protection hidden="1"/>
    </xf>
    <xf numFmtId="0" fontId="54" fillId="39" borderId="20" xfId="0" applyFont="1" applyFill="1" applyBorder="1" applyAlignment="1" applyProtection="1">
      <alignment horizontal="right"/>
      <protection hidden="1"/>
    </xf>
    <xf numFmtId="2" fontId="42" fillId="0" borderId="12" xfId="0" applyNumberFormat="1" applyFont="1" applyFill="1" applyBorder="1" applyAlignment="1" applyProtection="1">
      <alignment/>
      <protection hidden="1"/>
    </xf>
    <xf numFmtId="15" fontId="9" fillId="35" borderId="0" xfId="0" applyNumberFormat="1" applyFont="1" applyFill="1" applyBorder="1" applyAlignment="1" applyProtection="1">
      <alignment horizontal="center"/>
      <protection hidden="1"/>
    </xf>
    <xf numFmtId="181" fontId="19" fillId="35" borderId="0" xfId="0" applyNumberFormat="1" applyFont="1" applyFill="1" applyAlignment="1" applyProtection="1">
      <alignment horizontal="center"/>
      <protection hidden="1"/>
    </xf>
    <xf numFmtId="0" fontId="58" fillId="36" borderId="13" xfId="0" applyFont="1" applyFill="1" applyBorder="1" applyAlignment="1" applyProtection="1">
      <alignment/>
      <protection hidden="1"/>
    </xf>
    <xf numFmtId="0" fontId="28" fillId="36" borderId="13" xfId="0" applyFont="1" applyFill="1" applyBorder="1" applyAlignment="1" applyProtection="1">
      <alignment/>
      <protection hidden="1"/>
    </xf>
    <xf numFmtId="0" fontId="22" fillId="36" borderId="13" xfId="0" applyFont="1" applyFill="1" applyBorder="1" applyAlignment="1" applyProtection="1">
      <alignment/>
      <protection hidden="1"/>
    </xf>
    <xf numFmtId="0" fontId="59" fillId="36" borderId="24" xfId="0" applyFont="1" applyFill="1" applyBorder="1" applyAlignment="1" applyProtection="1">
      <alignment/>
      <protection hidden="1"/>
    </xf>
    <xf numFmtId="0" fontId="27" fillId="41" borderId="13" xfId="0" applyFont="1" applyFill="1" applyBorder="1" applyAlignment="1" applyProtection="1">
      <alignment/>
      <protection hidden="1"/>
    </xf>
    <xf numFmtId="0" fontId="28" fillId="41" borderId="13" xfId="0" applyFont="1" applyFill="1" applyBorder="1" applyAlignment="1" applyProtection="1">
      <alignment horizontal="left"/>
      <protection hidden="1"/>
    </xf>
    <xf numFmtId="0" fontId="59" fillId="41" borderId="13" xfId="0" applyFont="1" applyFill="1" applyBorder="1" applyAlignment="1" applyProtection="1">
      <alignment/>
      <protection hidden="1"/>
    </xf>
    <xf numFmtId="0" fontId="59" fillId="36" borderId="24" xfId="0" applyFont="1" applyFill="1" applyBorder="1" applyAlignment="1" applyProtection="1">
      <alignment horizontal="right"/>
      <protection hidden="1"/>
    </xf>
    <xf numFmtId="0" fontId="28" fillId="36" borderId="24" xfId="0" applyFont="1" applyFill="1" applyBorder="1" applyAlignment="1" applyProtection="1">
      <alignment horizontal="right"/>
      <protection hidden="1"/>
    </xf>
    <xf numFmtId="2" fontId="30" fillId="0" borderId="14" xfId="0" applyNumberFormat="1" applyFont="1" applyBorder="1" applyAlignment="1" applyProtection="1">
      <alignment horizontal="right"/>
      <protection hidden="1"/>
    </xf>
    <xf numFmtId="0" fontId="19" fillId="0" borderId="23" xfId="0" applyFont="1" applyBorder="1" applyAlignment="1" applyProtection="1">
      <alignment horizontal="right"/>
      <protection hidden="1"/>
    </xf>
    <xf numFmtId="0" fontId="68" fillId="41" borderId="13" xfId="0" applyFont="1" applyFill="1" applyBorder="1" applyAlignment="1" applyProtection="1">
      <alignment/>
      <protection hidden="1"/>
    </xf>
    <xf numFmtId="0" fontId="60" fillId="37" borderId="0" xfId="0" applyFont="1" applyFill="1" applyBorder="1" applyAlignment="1" applyProtection="1">
      <alignment horizontal="right"/>
      <protection hidden="1"/>
    </xf>
    <xf numFmtId="0" fontId="20" fillId="0" borderId="28" xfId="0" applyFont="1" applyFill="1" applyBorder="1" applyAlignment="1" applyProtection="1">
      <alignment horizontal="right"/>
      <protection hidden="1"/>
    </xf>
    <xf numFmtId="1" fontId="19" fillId="0" borderId="13" xfId="0" applyNumberFormat="1" applyFont="1" applyFill="1" applyBorder="1" applyAlignment="1" applyProtection="1">
      <alignment/>
      <protection hidden="1"/>
    </xf>
    <xf numFmtId="0" fontId="13" fillId="0" borderId="16" xfId="0" applyFont="1" applyFill="1" applyBorder="1" applyAlignment="1" applyProtection="1">
      <alignment/>
      <protection hidden="1"/>
    </xf>
    <xf numFmtId="0" fontId="60" fillId="0" borderId="10" xfId="0" applyFont="1" applyFill="1" applyBorder="1" applyAlignment="1" applyProtection="1">
      <alignment horizontal="right"/>
      <protection hidden="1"/>
    </xf>
    <xf numFmtId="0" fontId="13" fillId="35" borderId="16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/>
      <protection hidden="1"/>
    </xf>
    <xf numFmtId="180" fontId="34" fillId="0" borderId="11" xfId="0" applyNumberFormat="1" applyFont="1" applyFill="1" applyBorder="1" applyAlignment="1" applyProtection="1">
      <alignment horizontal="right"/>
      <protection hidden="1"/>
    </xf>
    <xf numFmtId="1" fontId="61" fillId="0" borderId="11" xfId="0" applyNumberFormat="1" applyFont="1" applyFill="1" applyBorder="1" applyAlignment="1" applyProtection="1">
      <alignment/>
      <protection hidden="1"/>
    </xf>
    <xf numFmtId="2" fontId="70" fillId="0" borderId="22" xfId="0" applyNumberFormat="1" applyFont="1" applyFill="1" applyBorder="1" applyAlignment="1" applyProtection="1">
      <alignment horizontal="center"/>
      <protection hidden="1"/>
    </xf>
    <xf numFmtId="0" fontId="60" fillId="0" borderId="16" xfId="0" applyFont="1" applyFill="1" applyBorder="1" applyAlignment="1" applyProtection="1">
      <alignment horizontal="right"/>
      <protection hidden="1"/>
    </xf>
    <xf numFmtId="1" fontId="33" fillId="0" borderId="0" xfId="0" applyNumberFormat="1" applyFont="1" applyFill="1" applyBorder="1" applyAlignment="1" applyProtection="1">
      <alignment/>
      <protection hidden="1"/>
    </xf>
    <xf numFmtId="180" fontId="34" fillId="0" borderId="0" xfId="0" applyNumberFormat="1" applyFont="1" applyFill="1" applyBorder="1" applyAlignment="1" applyProtection="1">
      <alignment horizontal="right"/>
      <protection hidden="1"/>
    </xf>
    <xf numFmtId="2" fontId="70" fillId="0" borderId="17" xfId="0" applyNumberFormat="1" applyFont="1" applyFill="1" applyBorder="1" applyAlignment="1" applyProtection="1">
      <alignment horizontal="center"/>
      <protection hidden="1"/>
    </xf>
    <xf numFmtId="0" fontId="25" fillId="36" borderId="14" xfId="0" applyFont="1" applyFill="1" applyBorder="1" applyAlignment="1" applyProtection="1">
      <alignment/>
      <protection hidden="1"/>
    </xf>
    <xf numFmtId="0" fontId="60" fillId="0" borderId="16" xfId="0" applyFont="1" applyFill="1" applyBorder="1" applyAlignment="1" applyProtection="1">
      <alignment horizontal="left"/>
      <protection hidden="1"/>
    </xf>
    <xf numFmtId="2" fontId="33" fillId="0" borderId="16" xfId="0" applyNumberFormat="1" applyFont="1" applyFill="1" applyBorder="1" applyAlignment="1" applyProtection="1">
      <alignment horizontal="left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2" fontId="33" fillId="0" borderId="0" xfId="0" applyNumberFormat="1" applyFont="1" applyFill="1" applyBorder="1" applyAlignment="1" applyProtection="1">
      <alignment horizontal="left"/>
      <protection hidden="1"/>
    </xf>
    <xf numFmtId="2" fontId="13" fillId="0" borderId="0" xfId="0" applyNumberFormat="1" applyFont="1" applyFill="1" applyBorder="1" applyAlignment="1" applyProtection="1">
      <alignment horizontal="right"/>
      <protection hidden="1"/>
    </xf>
    <xf numFmtId="180" fontId="13" fillId="0" borderId="0" xfId="0" applyNumberFormat="1" applyFont="1" applyFill="1" applyBorder="1" applyAlignment="1" applyProtection="1">
      <alignment horizontal="right"/>
      <protection hidden="1"/>
    </xf>
    <xf numFmtId="0" fontId="60" fillId="0" borderId="0" xfId="0" applyFont="1" applyFill="1" applyBorder="1" applyAlignment="1" applyProtection="1">
      <alignment horizontal="left"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60" fillId="0" borderId="11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70" fillId="0" borderId="11" xfId="0" applyFont="1" applyFill="1" applyBorder="1" applyAlignment="1" applyProtection="1">
      <alignment horizontal="left"/>
      <protection hidden="1"/>
    </xf>
    <xf numFmtId="1" fontId="20" fillId="35" borderId="0" xfId="0" applyNumberFormat="1" applyFont="1" applyFill="1" applyBorder="1" applyAlignment="1" applyProtection="1">
      <alignment horizontal="center"/>
      <protection hidden="1"/>
    </xf>
    <xf numFmtId="0" fontId="14" fillId="35" borderId="0" xfId="0" applyFont="1" applyFill="1" applyAlignment="1" applyProtection="1">
      <alignment horizontal="right"/>
      <protection hidden="1"/>
    </xf>
    <xf numFmtId="0" fontId="14" fillId="35" borderId="0" xfId="0" applyFont="1" applyFill="1" applyAlignment="1" applyProtection="1">
      <alignment horizontal="left"/>
      <protection hidden="1"/>
    </xf>
    <xf numFmtId="0" fontId="70" fillId="33" borderId="31" xfId="0" applyFont="1" applyFill="1" applyBorder="1" applyAlignment="1" applyProtection="1">
      <alignment horizontal="center"/>
      <protection locked="0"/>
    </xf>
    <xf numFmtId="0" fontId="44" fillId="0" borderId="16" xfId="0" applyFont="1" applyFill="1" applyBorder="1" applyAlignment="1" applyProtection="1">
      <alignment horizontal="left"/>
      <protection hidden="1"/>
    </xf>
    <xf numFmtId="1" fontId="13" fillId="0" borderId="0" xfId="0" applyNumberFormat="1" applyFont="1" applyFill="1" applyBorder="1" applyAlignment="1" applyProtection="1">
      <alignment horizontal="left"/>
      <protection hidden="1"/>
    </xf>
    <xf numFmtId="180" fontId="12" fillId="0" borderId="0" xfId="0" applyNumberFormat="1" applyFont="1" applyFill="1" applyBorder="1" applyAlignment="1" applyProtection="1">
      <alignment horizontal="right"/>
      <protection hidden="1"/>
    </xf>
    <xf numFmtId="0" fontId="30" fillId="0" borderId="0" xfId="0" applyFont="1" applyFill="1" applyBorder="1" applyAlignment="1" applyProtection="1">
      <alignment horizontal="left"/>
      <protection hidden="1"/>
    </xf>
    <xf numFmtId="0" fontId="9" fillId="35" borderId="0" xfId="0" applyFont="1" applyFill="1" applyBorder="1" applyAlignment="1" applyProtection="1">
      <alignment/>
      <protection hidden="1"/>
    </xf>
    <xf numFmtId="1" fontId="14" fillId="0" borderId="0" xfId="0" applyNumberFormat="1" applyFont="1" applyFill="1" applyBorder="1" applyAlignment="1" applyProtection="1">
      <alignment horizontal="right"/>
      <protection hidden="1"/>
    </xf>
    <xf numFmtId="1" fontId="61" fillId="0" borderId="0" xfId="0" applyNumberFormat="1" applyFont="1" applyFill="1" applyBorder="1" applyAlignment="1" applyProtection="1">
      <alignment horizontal="right"/>
      <protection hidden="1"/>
    </xf>
    <xf numFmtId="1" fontId="14" fillId="0" borderId="0" xfId="0" applyNumberFormat="1" applyFont="1" applyFill="1" applyBorder="1" applyAlignment="1" applyProtection="1">
      <alignment horizontal="right"/>
      <protection hidden="1"/>
    </xf>
    <xf numFmtId="2" fontId="33" fillId="0" borderId="17" xfId="0" applyNumberFormat="1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right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20" fillId="0" borderId="17" xfId="0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2" fontId="20" fillId="0" borderId="14" xfId="0" applyNumberFormat="1" applyFont="1" applyFill="1" applyBorder="1" applyAlignment="1" applyProtection="1">
      <alignment/>
      <protection hidden="1"/>
    </xf>
    <xf numFmtId="0" fontId="9" fillId="0" borderId="23" xfId="0" applyFont="1" applyFill="1" applyBorder="1" applyAlignment="1" applyProtection="1">
      <alignment/>
      <protection hidden="1"/>
    </xf>
    <xf numFmtId="0" fontId="37" fillId="0" borderId="35" xfId="0" applyFont="1" applyFill="1" applyBorder="1" applyAlignment="1" applyProtection="1">
      <alignment/>
      <protection hidden="1"/>
    </xf>
    <xf numFmtId="0" fontId="9" fillId="0" borderId="32" xfId="0" applyFont="1" applyFill="1" applyBorder="1" applyAlignment="1" applyProtection="1">
      <alignment/>
      <protection hidden="1"/>
    </xf>
    <xf numFmtId="0" fontId="51" fillId="41" borderId="15" xfId="0" applyFont="1" applyFill="1" applyBorder="1" applyAlignment="1" applyProtection="1">
      <alignment/>
      <protection hidden="1"/>
    </xf>
    <xf numFmtId="0" fontId="51" fillId="41" borderId="11" xfId="0" applyFont="1" applyFill="1" applyBorder="1" applyAlignment="1" applyProtection="1">
      <alignment/>
      <protection hidden="1"/>
    </xf>
    <xf numFmtId="0" fontId="71" fillId="41" borderId="15" xfId="0" applyFont="1" applyFill="1" applyBorder="1" applyAlignment="1" applyProtection="1">
      <alignment/>
      <protection hidden="1"/>
    </xf>
    <xf numFmtId="0" fontId="13" fillId="0" borderId="1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2" fontId="20" fillId="0" borderId="16" xfId="0" applyNumberFormat="1" applyFont="1" applyFill="1" applyBorder="1" applyAlignment="1" applyProtection="1">
      <alignment/>
      <protection hidden="1"/>
    </xf>
    <xf numFmtId="2" fontId="20" fillId="0" borderId="16" xfId="0" applyNumberFormat="1" applyFont="1" applyFill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74" fillId="34" borderId="0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180" fontId="19" fillId="0" borderId="12" xfId="0" applyNumberFormat="1" applyFont="1" applyFill="1" applyBorder="1" applyAlignment="1" applyProtection="1">
      <alignment/>
      <protection hidden="1"/>
    </xf>
    <xf numFmtId="1" fontId="19" fillId="0" borderId="14" xfId="0" applyNumberFormat="1" applyFont="1" applyFill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right"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right"/>
      <protection hidden="1"/>
    </xf>
    <xf numFmtId="49" fontId="19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49" fontId="19" fillId="0" borderId="11" xfId="0" applyNumberFormat="1" applyFont="1" applyBorder="1" applyAlignment="1" applyProtection="1">
      <alignment horizontal="left"/>
      <protection hidden="1"/>
    </xf>
    <xf numFmtId="0" fontId="56" fillId="0" borderId="16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right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20" fillId="0" borderId="13" xfId="0" applyFont="1" applyBorder="1" applyAlignment="1" applyProtection="1">
      <alignment/>
      <protection hidden="1"/>
    </xf>
    <xf numFmtId="0" fontId="40" fillId="0" borderId="12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/>
      <protection hidden="1"/>
    </xf>
    <xf numFmtId="0" fontId="23" fillId="0" borderId="13" xfId="0" applyFont="1" applyFill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40" fillId="0" borderId="10" xfId="0" applyFont="1" applyBorder="1" applyAlignment="1" applyProtection="1">
      <alignment/>
      <protection hidden="1"/>
    </xf>
    <xf numFmtId="1" fontId="20" fillId="0" borderId="11" xfId="0" applyNumberFormat="1" applyFont="1" applyBorder="1" applyAlignment="1" applyProtection="1">
      <alignment/>
      <protection hidden="1"/>
    </xf>
    <xf numFmtId="1" fontId="20" fillId="0" borderId="14" xfId="0" applyNumberFormat="1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left"/>
      <protection hidden="1"/>
    </xf>
    <xf numFmtId="180" fontId="12" fillId="0" borderId="15" xfId="0" applyNumberFormat="1" applyFont="1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/>
      <protection hidden="1"/>
    </xf>
    <xf numFmtId="2" fontId="12" fillId="0" borderId="11" xfId="0" applyNumberFormat="1" applyFont="1" applyBorder="1" applyAlignment="1" applyProtection="1">
      <alignment/>
      <protection hidden="1"/>
    </xf>
    <xf numFmtId="0" fontId="23" fillId="0" borderId="23" xfId="0" applyFont="1" applyFill="1" applyBorder="1" applyAlignment="1" applyProtection="1">
      <alignment/>
      <protection hidden="1"/>
    </xf>
    <xf numFmtId="0" fontId="23" fillId="0" borderId="17" xfId="0" applyFont="1" applyFill="1" applyBorder="1" applyAlignment="1" applyProtection="1">
      <alignment/>
      <protection hidden="1"/>
    </xf>
    <xf numFmtId="0" fontId="23" fillId="0" borderId="22" xfId="0" applyFont="1" applyFill="1" applyBorder="1" applyAlignment="1" applyProtection="1">
      <alignment/>
      <protection hidden="1"/>
    </xf>
    <xf numFmtId="2" fontId="12" fillId="0" borderId="13" xfId="0" applyNumberFormat="1" applyFont="1" applyBorder="1" applyAlignment="1" applyProtection="1">
      <alignment horizontal="right"/>
      <protection hidden="1"/>
    </xf>
    <xf numFmtId="2" fontId="20" fillId="0" borderId="13" xfId="0" applyNumberFormat="1" applyFont="1" applyBorder="1" applyAlignment="1" applyProtection="1">
      <alignment horizontal="right"/>
      <protection hidden="1"/>
    </xf>
    <xf numFmtId="0" fontId="31" fillId="0" borderId="15" xfId="0" applyFont="1" applyBorder="1" applyAlignment="1" applyProtection="1">
      <alignment/>
      <protection hidden="1"/>
    </xf>
    <xf numFmtId="2" fontId="20" fillId="0" borderId="12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9" fillId="0" borderId="24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22" xfId="0" applyFont="1" applyBorder="1" applyAlignment="1" applyProtection="1">
      <alignment/>
      <protection hidden="1"/>
    </xf>
    <xf numFmtId="0" fontId="77" fillId="39" borderId="20" xfId="0" applyFont="1" applyFill="1" applyBorder="1" applyAlignment="1" applyProtection="1">
      <alignment horizontal="left"/>
      <protection hidden="1"/>
    </xf>
    <xf numFmtId="0" fontId="77" fillId="39" borderId="20" xfId="0" applyFont="1" applyFill="1" applyBorder="1" applyAlignment="1" applyProtection="1">
      <alignment horizontal="right"/>
      <protection hidden="1"/>
    </xf>
    <xf numFmtId="0" fontId="37" fillId="0" borderId="12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9" fillId="42" borderId="14" xfId="0" applyFont="1" applyFill="1" applyBorder="1" applyAlignment="1" applyProtection="1">
      <alignment/>
      <protection hidden="1"/>
    </xf>
    <xf numFmtId="0" fontId="9" fillId="42" borderId="15" xfId="0" applyFont="1" applyFill="1" applyBorder="1" applyAlignment="1" applyProtection="1">
      <alignment/>
      <protection hidden="1"/>
    </xf>
    <xf numFmtId="0" fontId="21" fillId="42" borderId="23" xfId="0" applyFont="1" applyFill="1" applyBorder="1" applyAlignment="1" applyProtection="1">
      <alignment horizontal="right"/>
      <protection hidden="1"/>
    </xf>
    <xf numFmtId="0" fontId="75" fillId="42" borderId="16" xfId="0" applyFont="1" applyFill="1" applyBorder="1" applyAlignment="1">
      <alignment/>
    </xf>
    <xf numFmtId="0" fontId="75" fillId="42" borderId="0" xfId="0" applyFont="1" applyFill="1" applyBorder="1" applyAlignment="1">
      <alignment/>
    </xf>
    <xf numFmtId="0" fontId="9" fillId="42" borderId="0" xfId="0" applyFont="1" applyFill="1" applyBorder="1" applyAlignment="1" applyProtection="1">
      <alignment/>
      <protection hidden="1"/>
    </xf>
    <xf numFmtId="0" fontId="13" fillId="42" borderId="0" xfId="0" applyFont="1" applyFill="1" applyBorder="1" applyAlignment="1" applyProtection="1">
      <alignment horizontal="right"/>
      <protection hidden="1"/>
    </xf>
    <xf numFmtId="0" fontId="13" fillId="42" borderId="17" xfId="0" applyFont="1" applyFill="1" applyBorder="1" applyAlignment="1" applyProtection="1">
      <alignment horizontal="right"/>
      <protection hidden="1"/>
    </xf>
    <xf numFmtId="0" fontId="9" fillId="42" borderId="16" xfId="0" applyFont="1" applyFill="1" applyBorder="1" applyAlignment="1" applyProtection="1">
      <alignment/>
      <protection hidden="1"/>
    </xf>
    <xf numFmtId="0" fontId="31" fillId="42" borderId="0" xfId="0" applyFont="1" applyFill="1" applyBorder="1" applyAlignment="1" applyProtection="1">
      <alignment horizontal="left"/>
      <protection hidden="1"/>
    </xf>
    <xf numFmtId="0" fontId="9" fillId="42" borderId="10" xfId="0" applyFont="1" applyFill="1" applyBorder="1" applyAlignment="1" applyProtection="1">
      <alignment/>
      <protection hidden="1"/>
    </xf>
    <xf numFmtId="0" fontId="9" fillId="42" borderId="11" xfId="0" applyFont="1" applyFill="1" applyBorder="1" applyAlignment="1" applyProtection="1">
      <alignment/>
      <protection hidden="1"/>
    </xf>
    <xf numFmtId="0" fontId="31" fillId="42" borderId="11" xfId="0" applyFont="1" applyFill="1" applyBorder="1" applyAlignment="1" applyProtection="1">
      <alignment horizontal="left"/>
      <protection hidden="1"/>
    </xf>
    <xf numFmtId="0" fontId="13" fillId="42" borderId="22" xfId="0" applyFont="1" applyFill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48" fillId="43" borderId="0" xfId="0" applyFont="1" applyFill="1" applyAlignment="1" applyProtection="1">
      <alignment/>
      <protection hidden="1"/>
    </xf>
    <xf numFmtId="0" fontId="9" fillId="43" borderId="0" xfId="0" applyFont="1" applyFill="1" applyAlignment="1" applyProtection="1">
      <alignment/>
      <protection hidden="1"/>
    </xf>
    <xf numFmtId="0" fontId="33" fillId="43" borderId="0" xfId="0" applyFont="1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right"/>
      <protection hidden="1"/>
    </xf>
    <xf numFmtId="0" fontId="15" fillId="33" borderId="0" xfId="0" applyFont="1" applyFill="1" applyBorder="1" applyAlignment="1" applyProtection="1">
      <alignment horizontal="left"/>
      <protection hidden="1"/>
    </xf>
    <xf numFmtId="180" fontId="13" fillId="33" borderId="0" xfId="0" applyNumberFormat="1" applyFont="1" applyFill="1" applyBorder="1" applyAlignment="1" applyProtection="1">
      <alignment horizontal="left"/>
      <protection hidden="1"/>
    </xf>
    <xf numFmtId="0" fontId="13" fillId="33" borderId="0" xfId="0" applyFont="1" applyFill="1" applyBorder="1" applyAlignment="1" applyProtection="1">
      <alignment horizontal="left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/>
      <protection hidden="1"/>
    </xf>
    <xf numFmtId="2" fontId="12" fillId="33" borderId="0" xfId="0" applyNumberFormat="1" applyFont="1" applyFill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/>
      <protection hidden="1"/>
    </xf>
    <xf numFmtId="180" fontId="14" fillId="33" borderId="0" xfId="0" applyNumberFormat="1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right"/>
      <protection hidden="1"/>
    </xf>
    <xf numFmtId="0" fontId="78" fillId="0" borderId="16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/>
      <protection hidden="1"/>
    </xf>
    <xf numFmtId="0" fontId="38" fillId="0" borderId="13" xfId="0" applyFont="1" applyFill="1" applyBorder="1" applyAlignment="1" applyProtection="1">
      <alignment/>
      <protection hidden="1"/>
    </xf>
    <xf numFmtId="0" fontId="42" fillId="0" borderId="24" xfId="0" applyFont="1" applyFill="1" applyBorder="1" applyAlignment="1" applyProtection="1">
      <alignment/>
      <protection hidden="1"/>
    </xf>
    <xf numFmtId="0" fontId="19" fillId="0" borderId="13" xfId="0" applyFont="1" applyFill="1" applyBorder="1" applyAlignment="1" applyProtection="1">
      <alignment/>
      <protection hidden="1"/>
    </xf>
    <xf numFmtId="0" fontId="19" fillId="0" borderId="24" xfId="0" applyFont="1" applyFill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 horizontal="right"/>
      <protection hidden="1"/>
    </xf>
    <xf numFmtId="0" fontId="31" fillId="0" borderId="13" xfId="0" applyFont="1" applyFill="1" applyBorder="1" applyAlignment="1" applyProtection="1">
      <alignment/>
      <protection hidden="1"/>
    </xf>
    <xf numFmtId="0" fontId="80" fillId="43" borderId="0" xfId="0" applyFont="1" applyFill="1" applyAlignment="1" applyProtection="1">
      <alignment horizontal="right"/>
      <protection hidden="1"/>
    </xf>
    <xf numFmtId="0" fontId="34" fillId="44" borderId="11" xfId="0" applyFont="1" applyFill="1" applyBorder="1" applyAlignment="1" applyProtection="1">
      <alignment horizontal="left"/>
      <protection hidden="1"/>
    </xf>
    <xf numFmtId="0" fontId="9" fillId="44" borderId="11" xfId="0" applyFont="1" applyFill="1" applyBorder="1" applyAlignment="1" applyProtection="1">
      <alignment/>
      <protection hidden="1"/>
    </xf>
    <xf numFmtId="0" fontId="9" fillId="44" borderId="14" xfId="0" applyFont="1" applyFill="1" applyBorder="1" applyAlignment="1" applyProtection="1">
      <alignment/>
      <protection hidden="1"/>
    </xf>
    <xf numFmtId="0" fontId="79" fillId="44" borderId="15" xfId="0" applyFont="1" applyFill="1" applyBorder="1" applyAlignment="1" applyProtection="1">
      <alignment horizontal="center"/>
      <protection hidden="1"/>
    </xf>
    <xf numFmtId="0" fontId="9" fillId="44" borderId="15" xfId="0" applyFont="1" applyFill="1" applyBorder="1" applyAlignment="1" applyProtection="1">
      <alignment/>
      <protection hidden="1"/>
    </xf>
    <xf numFmtId="0" fontId="33" fillId="44" borderId="23" xfId="0" applyFont="1" applyFill="1" applyBorder="1" applyAlignment="1" applyProtection="1">
      <alignment/>
      <protection hidden="1"/>
    </xf>
    <xf numFmtId="0" fontId="33" fillId="44" borderId="17" xfId="0" applyFont="1" applyFill="1" applyBorder="1" applyAlignment="1" applyProtection="1">
      <alignment/>
      <protection hidden="1"/>
    </xf>
    <xf numFmtId="0" fontId="33" fillId="44" borderId="22" xfId="0" applyFont="1" applyFill="1" applyBorder="1" applyAlignment="1" applyProtection="1">
      <alignment/>
      <protection hidden="1"/>
    </xf>
    <xf numFmtId="0" fontId="32" fillId="44" borderId="11" xfId="0" applyFont="1" applyFill="1" applyBorder="1" applyAlignment="1" applyProtection="1">
      <alignment/>
      <protection hidden="1"/>
    </xf>
    <xf numFmtId="0" fontId="12" fillId="44" borderId="11" xfId="0" applyFont="1" applyFill="1" applyBorder="1" applyAlignment="1" applyProtection="1">
      <alignment horizontal="left"/>
      <protection hidden="1"/>
    </xf>
    <xf numFmtId="182" fontId="15" fillId="45" borderId="31" xfId="0" applyNumberFormat="1" applyFont="1" applyFill="1" applyBorder="1" applyAlignment="1" applyProtection="1">
      <alignment horizontal="center"/>
      <protection locked="0"/>
    </xf>
    <xf numFmtId="0" fontId="13" fillId="44" borderId="0" xfId="0" applyFont="1" applyFill="1" applyBorder="1" applyAlignment="1" applyProtection="1">
      <alignment/>
      <protection hidden="1"/>
    </xf>
    <xf numFmtId="0" fontId="9" fillId="44" borderId="15" xfId="0" applyFont="1" applyFill="1" applyBorder="1" applyAlignment="1" applyProtection="1">
      <alignment horizontal="left"/>
      <protection hidden="1"/>
    </xf>
    <xf numFmtId="0" fontId="9" fillId="42" borderId="0" xfId="0" applyFont="1" applyFill="1" applyAlignment="1" applyProtection="1">
      <alignment/>
      <protection hidden="1"/>
    </xf>
    <xf numFmtId="0" fontId="33" fillId="42" borderId="0" xfId="0" applyFont="1" applyFill="1" applyAlignment="1" applyProtection="1">
      <alignment/>
      <protection hidden="1"/>
    </xf>
    <xf numFmtId="0" fontId="32" fillId="42" borderId="0" xfId="0" applyFont="1" applyFill="1" applyAlignment="1" applyProtection="1">
      <alignment/>
      <protection hidden="1"/>
    </xf>
    <xf numFmtId="0" fontId="7" fillId="43" borderId="0" xfId="0" applyFont="1" applyFill="1" applyAlignment="1" applyProtection="1">
      <alignment/>
      <protection hidden="1"/>
    </xf>
    <xf numFmtId="0" fontId="82" fillId="0" borderId="28" xfId="0" applyFont="1" applyFill="1" applyBorder="1" applyAlignment="1" applyProtection="1">
      <alignment horizontal="right"/>
      <protection hidden="1"/>
    </xf>
    <xf numFmtId="0" fontId="9" fillId="46" borderId="27" xfId="0" applyFont="1" applyFill="1" applyBorder="1" applyAlignment="1" applyProtection="1">
      <alignment/>
      <protection hidden="1"/>
    </xf>
    <xf numFmtId="0" fontId="9" fillId="46" borderId="0" xfId="0" applyFont="1" applyFill="1" applyBorder="1" applyAlignment="1" applyProtection="1">
      <alignment horizontal="right"/>
      <protection hidden="1"/>
    </xf>
    <xf numFmtId="0" fontId="44" fillId="46" borderId="0" xfId="0" applyFont="1" applyFill="1" applyBorder="1" applyAlignment="1" applyProtection="1">
      <alignment horizontal="right"/>
      <protection hidden="1" locked="0"/>
    </xf>
    <xf numFmtId="0" fontId="13" fillId="0" borderId="28" xfId="0" applyFont="1" applyFill="1" applyBorder="1" applyAlignment="1" applyProtection="1">
      <alignment horizontal="left"/>
      <protection hidden="1"/>
    </xf>
    <xf numFmtId="0" fontId="48" fillId="44" borderId="10" xfId="0" applyFont="1" applyFill="1" applyBorder="1" applyAlignment="1" applyProtection="1">
      <alignment/>
      <protection hidden="1"/>
    </xf>
    <xf numFmtId="0" fontId="48" fillId="44" borderId="11" xfId="0" applyFont="1" applyFill="1" applyBorder="1" applyAlignment="1" applyProtection="1">
      <alignment/>
      <protection hidden="1"/>
    </xf>
    <xf numFmtId="1" fontId="81" fillId="43" borderId="0" xfId="0" applyNumberFormat="1" applyFont="1" applyFill="1" applyBorder="1" applyAlignment="1" applyProtection="1">
      <alignment horizontal="center"/>
      <protection hidden="1"/>
    </xf>
    <xf numFmtId="180" fontId="13" fillId="0" borderId="28" xfId="0" applyNumberFormat="1" applyFont="1" applyFill="1" applyBorder="1" applyAlignment="1" applyProtection="1">
      <alignment horizontal="left"/>
      <protection hidden="1"/>
    </xf>
    <xf numFmtId="0" fontId="15" fillId="44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28" fillId="46" borderId="27" xfId="0" applyFont="1" applyFill="1" applyBorder="1" applyAlignment="1" applyProtection="1">
      <alignment/>
      <protection hidden="1"/>
    </xf>
    <xf numFmtId="0" fontId="0" fillId="0" borderId="16" xfId="0" applyBorder="1" applyAlignment="1">
      <alignment/>
    </xf>
    <xf numFmtId="0" fontId="82" fillId="0" borderId="0" xfId="0" applyFont="1" applyFill="1" applyBorder="1" applyAlignment="1" applyProtection="1">
      <alignment horizontal="left"/>
      <protection hidden="1"/>
    </xf>
    <xf numFmtId="0" fontId="82" fillId="46" borderId="0" xfId="0" applyFont="1" applyFill="1" applyBorder="1" applyAlignment="1" applyProtection="1">
      <alignment horizontal="center"/>
      <protection hidden="1"/>
    </xf>
    <xf numFmtId="0" fontId="84" fillId="0" borderId="0" xfId="0" applyFont="1" applyFill="1" applyBorder="1" applyAlignment="1" applyProtection="1">
      <alignment/>
      <protection hidden="1"/>
    </xf>
    <xf numFmtId="0" fontId="83" fillId="0" borderId="0" xfId="0" applyFont="1" applyAlignment="1" applyProtection="1">
      <alignment horizontal="right"/>
      <protection hidden="1"/>
    </xf>
    <xf numFmtId="183" fontId="83" fillId="46" borderId="0" xfId="0" applyNumberFormat="1" applyFont="1" applyFill="1" applyAlignment="1" applyProtection="1">
      <alignment horizontal="right"/>
      <protection hidden="1"/>
    </xf>
    <xf numFmtId="0" fontId="20" fillId="34" borderId="0" xfId="0" applyFont="1" applyFill="1" applyBorder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center"/>
      <protection hidden="1"/>
    </xf>
    <xf numFmtId="0" fontId="86" fillId="0" borderId="24" xfId="0" applyFont="1" applyFill="1" applyBorder="1" applyAlignment="1" applyProtection="1">
      <alignment horizontal="right"/>
      <protection hidden="1"/>
    </xf>
    <xf numFmtId="180" fontId="20" fillId="34" borderId="0" xfId="0" applyNumberFormat="1" applyFont="1" applyFill="1" applyBorder="1" applyAlignment="1" applyProtection="1">
      <alignment horizontal="center"/>
      <protection hidden="1"/>
    </xf>
    <xf numFmtId="0" fontId="14" fillId="37" borderId="0" xfId="0" applyFont="1" applyFill="1" applyBorder="1" applyAlignment="1" applyProtection="1">
      <alignment horizontal="right"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57" fillId="41" borderId="13" xfId="0" applyFont="1" applyFill="1" applyBorder="1" applyAlignment="1" applyProtection="1">
      <alignment/>
      <protection hidden="1"/>
    </xf>
    <xf numFmtId="0" fontId="57" fillId="41" borderId="12" xfId="0" applyFont="1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87" fillId="0" borderId="13" xfId="0" applyFont="1" applyFill="1" applyBorder="1" applyAlignment="1" applyProtection="1">
      <alignment/>
      <protection hidden="1"/>
    </xf>
    <xf numFmtId="0" fontId="88" fillId="0" borderId="24" xfId="0" applyFont="1" applyFill="1" applyBorder="1" applyAlignment="1" applyProtection="1">
      <alignment horizontal="right"/>
      <protection hidden="1"/>
    </xf>
    <xf numFmtId="0" fontId="10" fillId="39" borderId="0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13" fillId="37" borderId="13" xfId="0" applyFont="1" applyFill="1" applyBorder="1" applyAlignment="1" applyProtection="1">
      <alignment horizontal="left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13" fillId="37" borderId="15" xfId="0" applyFont="1" applyFill="1" applyBorder="1" applyAlignment="1" applyProtection="1">
      <alignment horizontal="left"/>
      <protection hidden="1"/>
    </xf>
    <xf numFmtId="0" fontId="9" fillId="37" borderId="0" xfId="0" applyFont="1" applyFill="1" applyBorder="1" applyAlignment="1" applyProtection="1">
      <alignment horizontal="left"/>
      <protection hidden="1"/>
    </xf>
    <xf numFmtId="0" fontId="60" fillId="37" borderId="0" xfId="0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185" fontId="30" fillId="0" borderId="13" xfId="0" applyNumberFormat="1" applyFont="1" applyFill="1" applyBorder="1" applyAlignment="1" applyProtection="1">
      <alignment horizontal="right"/>
      <protection hidden="1"/>
    </xf>
    <xf numFmtId="186" fontId="30" fillId="0" borderId="13" xfId="0" applyNumberFormat="1" applyFont="1" applyFill="1" applyBorder="1" applyAlignment="1" applyProtection="1">
      <alignment horizontal="right"/>
      <protection hidden="1"/>
    </xf>
    <xf numFmtId="180" fontId="13" fillId="0" borderId="13" xfId="0" applyNumberFormat="1" applyFont="1" applyFill="1" applyBorder="1" applyAlignment="1" applyProtection="1">
      <alignment/>
      <protection hidden="1"/>
    </xf>
    <xf numFmtId="0" fontId="19" fillId="0" borderId="13" xfId="0" applyFont="1" applyFill="1" applyBorder="1" applyAlignment="1" applyProtection="1">
      <alignment/>
      <protection hidden="1"/>
    </xf>
    <xf numFmtId="189" fontId="20" fillId="34" borderId="0" xfId="0" applyNumberFormat="1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13" fillId="0" borderId="23" xfId="0" applyFont="1" applyFill="1" applyBorder="1" applyAlignment="1" applyProtection="1">
      <alignment horizontal="left"/>
      <protection hidden="1"/>
    </xf>
    <xf numFmtId="0" fontId="37" fillId="0" borderId="10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22" xfId="0" applyFont="1" applyFill="1" applyBorder="1" applyAlignment="1" applyProtection="1">
      <alignment horizontal="left"/>
      <protection hidden="1"/>
    </xf>
    <xf numFmtId="190" fontId="19" fillId="0" borderId="13" xfId="0" applyNumberFormat="1" applyFont="1" applyFill="1" applyBorder="1" applyAlignment="1" applyProtection="1">
      <alignment horizontal="right"/>
      <protection hidden="1"/>
    </xf>
    <xf numFmtId="0" fontId="86" fillId="0" borderId="24" xfId="0" applyFont="1" applyFill="1" applyBorder="1" applyAlignment="1" applyProtection="1">
      <alignment horizontal="right"/>
      <protection hidden="1"/>
    </xf>
    <xf numFmtId="0" fontId="30" fillId="46" borderId="13" xfId="0" applyFont="1" applyFill="1" applyBorder="1" applyAlignment="1" applyProtection="1">
      <alignment horizontal="left"/>
      <protection hidden="1"/>
    </xf>
    <xf numFmtId="191" fontId="30" fillId="0" borderId="13" xfId="0" applyNumberFormat="1" applyFont="1" applyFill="1" applyBorder="1" applyAlignment="1" applyProtection="1">
      <alignment horizontal="right"/>
      <protection hidden="1"/>
    </xf>
    <xf numFmtId="0" fontId="9" fillId="37" borderId="11" xfId="0" applyFont="1" applyFill="1" applyBorder="1" applyAlignment="1" applyProtection="1">
      <alignment/>
      <protection hidden="1"/>
    </xf>
    <xf numFmtId="0" fontId="30" fillId="37" borderId="11" xfId="0" applyFont="1" applyFill="1" applyBorder="1" applyAlignment="1" applyProtection="1">
      <alignment/>
      <protection hidden="1"/>
    </xf>
    <xf numFmtId="0" fontId="20" fillId="37" borderId="11" xfId="0" applyFont="1" applyFill="1" applyBorder="1" applyAlignment="1" applyProtection="1">
      <alignment horizontal="right"/>
      <protection hidden="1"/>
    </xf>
    <xf numFmtId="0" fontId="20" fillId="37" borderId="11" xfId="0" applyFont="1" applyFill="1" applyBorder="1" applyAlignment="1" applyProtection="1">
      <alignment horizontal="left"/>
      <protection hidden="1"/>
    </xf>
    <xf numFmtId="0" fontId="13" fillId="37" borderId="11" xfId="0" applyFont="1" applyFill="1" applyBorder="1" applyAlignment="1" applyProtection="1">
      <alignment horizontal="right"/>
      <protection hidden="1"/>
    </xf>
    <xf numFmtId="0" fontId="13" fillId="37" borderId="11" xfId="0" applyFont="1" applyFill="1" applyBorder="1" applyAlignment="1" applyProtection="1">
      <alignment horizontal="left"/>
      <protection hidden="1"/>
    </xf>
    <xf numFmtId="0" fontId="9" fillId="0" borderId="13" xfId="0" applyFont="1" applyBorder="1" applyAlignment="1" applyProtection="1">
      <alignment/>
      <protection hidden="1"/>
    </xf>
    <xf numFmtId="0" fontId="56" fillId="46" borderId="13" xfId="0" applyFont="1" applyFill="1" applyBorder="1" applyAlignment="1" applyProtection="1">
      <alignment/>
      <protection hidden="1"/>
    </xf>
    <xf numFmtId="0" fontId="56" fillId="46" borderId="13" xfId="0" applyFont="1" applyFill="1" applyBorder="1" applyAlignment="1" applyProtection="1">
      <alignment horizontal="center"/>
      <protection hidden="1"/>
    </xf>
    <xf numFmtId="0" fontId="30" fillId="46" borderId="13" xfId="0" applyFont="1" applyFill="1" applyBorder="1" applyAlignment="1" applyProtection="1">
      <alignment horizontal="center"/>
      <protection hidden="1"/>
    </xf>
    <xf numFmtId="180" fontId="30" fillId="46" borderId="13" xfId="0" applyNumberFormat="1" applyFont="1" applyFill="1" applyBorder="1" applyAlignment="1" applyProtection="1">
      <alignment horizontal="left"/>
      <protection hidden="1"/>
    </xf>
    <xf numFmtId="0" fontId="9" fillId="46" borderId="13" xfId="0" applyFont="1" applyFill="1" applyBorder="1" applyAlignment="1" applyProtection="1">
      <alignment/>
      <protection hidden="1"/>
    </xf>
    <xf numFmtId="0" fontId="9" fillId="34" borderId="11" xfId="0" applyFont="1" applyFill="1" applyBorder="1" applyAlignment="1" applyProtection="1">
      <alignment/>
      <protection hidden="1"/>
    </xf>
    <xf numFmtId="0" fontId="9" fillId="34" borderId="11" xfId="0" applyFont="1" applyFill="1" applyBorder="1" applyAlignment="1" applyProtection="1">
      <alignment horizontal="left"/>
      <protection hidden="1"/>
    </xf>
    <xf numFmtId="0" fontId="38" fillId="0" borderId="31" xfId="0" applyFont="1" applyFill="1" applyBorder="1" applyAlignment="1" applyProtection="1">
      <alignment horizontal="left"/>
      <protection hidden="1"/>
    </xf>
    <xf numFmtId="0" fontId="89" fillId="47" borderId="0" xfId="0" applyFont="1" applyFill="1" applyBorder="1" applyAlignment="1">
      <alignment horizontal="center"/>
    </xf>
    <xf numFmtId="0" fontId="89" fillId="47" borderId="16" xfId="0" applyNumberFormat="1" applyFont="1" applyFill="1" applyBorder="1" applyAlignment="1" applyProtection="1">
      <alignment horizontal="center"/>
      <protection/>
    </xf>
    <xf numFmtId="0" fontId="89" fillId="47" borderId="17" xfId="0" applyFont="1" applyFill="1" applyBorder="1" applyAlignment="1">
      <alignment horizontal="center"/>
    </xf>
    <xf numFmtId="0" fontId="0" fillId="47" borderId="15" xfId="0" applyFont="1" applyFill="1" applyBorder="1" applyAlignment="1">
      <alignment horizontal="center"/>
    </xf>
    <xf numFmtId="0" fontId="0" fillId="47" borderId="23" xfId="0" applyFont="1" applyFill="1" applyBorder="1" applyAlignment="1">
      <alignment horizontal="center"/>
    </xf>
    <xf numFmtId="0" fontId="44" fillId="43" borderId="0" xfId="0" applyFont="1" applyFill="1" applyAlignment="1" applyProtection="1">
      <alignment/>
      <protection hidden="1"/>
    </xf>
    <xf numFmtId="0" fontId="1" fillId="47" borderId="14" xfId="0" applyFont="1" applyFill="1" applyBorder="1" applyAlignment="1">
      <alignment horizontal="left"/>
    </xf>
    <xf numFmtId="1" fontId="94" fillId="44" borderId="0" xfId="0" applyNumberFormat="1" applyFont="1" applyFill="1" applyBorder="1" applyAlignment="1" applyProtection="1">
      <alignment horizontal="left"/>
      <protection hidden="1"/>
    </xf>
    <xf numFmtId="0" fontId="94" fillId="44" borderId="0" xfId="0" applyFont="1" applyFill="1" applyBorder="1" applyAlignment="1" applyProtection="1">
      <alignment horizontal="left"/>
      <protection hidden="1"/>
    </xf>
    <xf numFmtId="0" fontId="95" fillId="44" borderId="0" xfId="0" applyFont="1" applyFill="1" applyBorder="1" applyAlignment="1" applyProtection="1">
      <alignment/>
      <protection hidden="1"/>
    </xf>
    <xf numFmtId="1" fontId="96" fillId="44" borderId="0" xfId="0" applyNumberFormat="1" applyFont="1" applyFill="1" applyBorder="1" applyAlignment="1" applyProtection="1">
      <alignment horizontal="left"/>
      <protection hidden="1"/>
    </xf>
    <xf numFmtId="0" fontId="97" fillId="44" borderId="17" xfId="0" applyFont="1" applyFill="1" applyBorder="1" applyAlignment="1" applyProtection="1">
      <alignment/>
      <protection hidden="1"/>
    </xf>
    <xf numFmtId="0" fontId="95" fillId="0" borderId="0" xfId="0" applyFont="1" applyFill="1" applyAlignment="1" applyProtection="1">
      <alignment/>
      <protection hidden="1"/>
    </xf>
    <xf numFmtId="0" fontId="97" fillId="44" borderId="0" xfId="0" applyFont="1" applyFill="1" applyBorder="1" applyAlignment="1" applyProtection="1">
      <alignment horizontal="left"/>
      <protection hidden="1"/>
    </xf>
    <xf numFmtId="0" fontId="96" fillId="44" borderId="0" xfId="0" applyFont="1" applyFill="1" applyBorder="1" applyAlignment="1" applyProtection="1">
      <alignment horizontal="right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15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37" fillId="0" borderId="14" xfId="0" applyFont="1" applyBorder="1" applyAlignment="1" applyProtection="1">
      <alignment/>
      <protection hidden="1"/>
    </xf>
    <xf numFmtId="0" fontId="37" fillId="0" borderId="11" xfId="0" applyFont="1" applyFill="1" applyBorder="1" applyAlignment="1" applyProtection="1">
      <alignment/>
      <protection hidden="1"/>
    </xf>
    <xf numFmtId="180" fontId="19" fillId="0" borderId="10" xfId="0" applyNumberFormat="1" applyFont="1" applyFill="1" applyBorder="1" applyAlignment="1" applyProtection="1">
      <alignment/>
      <protection hidden="1"/>
    </xf>
    <xf numFmtId="0" fontId="20" fillId="0" borderId="22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38" fillId="0" borderId="11" xfId="0" applyFont="1" applyFill="1" applyBorder="1" applyAlignment="1" applyProtection="1">
      <alignment/>
      <protection hidden="1"/>
    </xf>
    <xf numFmtId="0" fontId="22" fillId="48" borderId="36" xfId="0" applyFont="1" applyFill="1" applyBorder="1" applyAlignment="1" applyProtection="1">
      <alignment/>
      <protection hidden="1"/>
    </xf>
    <xf numFmtId="0" fontId="23" fillId="48" borderId="37" xfId="0" applyFont="1" applyFill="1" applyBorder="1" applyAlignment="1" applyProtection="1">
      <alignment/>
      <protection hidden="1"/>
    </xf>
    <xf numFmtId="0" fontId="51" fillId="48" borderId="37" xfId="0" applyFont="1" applyFill="1" applyBorder="1" applyAlignment="1" applyProtection="1">
      <alignment/>
      <protection hidden="1"/>
    </xf>
    <xf numFmtId="0" fontId="22" fillId="48" borderId="37" xfId="0" applyFont="1" applyFill="1" applyBorder="1" applyAlignment="1" applyProtection="1">
      <alignment/>
      <protection hidden="1"/>
    </xf>
    <xf numFmtId="0" fontId="28" fillId="48" borderId="37" xfId="0" applyFont="1" applyFill="1" applyBorder="1" applyAlignment="1" applyProtection="1">
      <alignment/>
      <protection hidden="1"/>
    </xf>
    <xf numFmtId="0" fontId="25" fillId="48" borderId="37" xfId="0" applyFont="1" applyFill="1" applyBorder="1" applyAlignment="1" applyProtection="1">
      <alignment/>
      <protection hidden="1"/>
    </xf>
    <xf numFmtId="0" fontId="26" fillId="48" borderId="37" xfId="0" applyFont="1" applyFill="1" applyBorder="1" applyAlignment="1" applyProtection="1">
      <alignment/>
      <protection hidden="1"/>
    </xf>
    <xf numFmtId="0" fontId="58" fillId="48" borderId="37" xfId="0" applyFont="1" applyFill="1" applyBorder="1" applyAlignment="1" applyProtection="1">
      <alignment/>
      <protection hidden="1"/>
    </xf>
    <xf numFmtId="0" fontId="59" fillId="48" borderId="37" xfId="0" applyFont="1" applyFill="1" applyBorder="1" applyAlignment="1" applyProtection="1">
      <alignment horizontal="left"/>
      <protection hidden="1"/>
    </xf>
    <xf numFmtId="0" fontId="57" fillId="48" borderId="37" xfId="0" applyFont="1" applyFill="1" applyBorder="1" applyAlignment="1" applyProtection="1">
      <alignment horizontal="left"/>
      <protection hidden="1"/>
    </xf>
    <xf numFmtId="0" fontId="28" fillId="48" borderId="38" xfId="0" applyFont="1" applyFill="1" applyBorder="1" applyAlignment="1" applyProtection="1">
      <alignment horizontal="right"/>
      <protection hidden="1"/>
    </xf>
    <xf numFmtId="187" fontId="30" fillId="0" borderId="13" xfId="0" applyNumberFormat="1" applyFont="1" applyFill="1" applyBorder="1" applyAlignment="1" applyProtection="1">
      <alignment/>
      <protection hidden="1"/>
    </xf>
    <xf numFmtId="0" fontId="37" fillId="0" borderId="16" xfId="0" applyFont="1" applyBorder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180" fontId="12" fillId="0" borderId="11" xfId="0" applyNumberFormat="1" applyFont="1" applyBorder="1" applyAlignment="1" applyProtection="1">
      <alignment/>
      <protection hidden="1"/>
    </xf>
    <xf numFmtId="0" fontId="33" fillId="0" borderId="11" xfId="0" applyFont="1" applyFill="1" applyBorder="1" applyAlignment="1" applyProtection="1">
      <alignment horizontal="left"/>
      <protection hidden="1"/>
    </xf>
    <xf numFmtId="2" fontId="20" fillId="0" borderId="16" xfId="0" applyNumberFormat="1" applyFont="1" applyBorder="1" applyAlignment="1" applyProtection="1">
      <alignment/>
      <protection hidden="1"/>
    </xf>
    <xf numFmtId="0" fontId="79" fillId="0" borderId="15" xfId="0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182" fontId="15" fillId="33" borderId="31" xfId="0" applyNumberFormat="1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hidden="1"/>
    </xf>
    <xf numFmtId="15" fontId="50" fillId="43" borderId="0" xfId="0" applyNumberFormat="1" applyFont="1" applyFill="1" applyAlignment="1" applyProtection="1">
      <alignment horizontal="center"/>
      <protection hidden="1"/>
    </xf>
    <xf numFmtId="0" fontId="0" fillId="43" borderId="0" xfId="0" applyFill="1" applyAlignment="1">
      <alignment/>
    </xf>
    <xf numFmtId="195" fontId="99" fillId="44" borderId="0" xfId="0" applyNumberFormat="1" applyFont="1" applyFill="1" applyBorder="1" applyAlignment="1" applyProtection="1">
      <alignment horizontal="left"/>
      <protection hidden="1"/>
    </xf>
    <xf numFmtId="181" fontId="13" fillId="47" borderId="31" xfId="0" applyNumberFormat="1" applyFont="1" applyFill="1" applyBorder="1" applyAlignment="1">
      <alignment horizontal="center"/>
    </xf>
    <xf numFmtId="0" fontId="100" fillId="47" borderId="31" xfId="0" applyFont="1" applyFill="1" applyBorder="1" applyAlignment="1" applyProtection="1">
      <alignment horizontal="center"/>
      <protection/>
    </xf>
    <xf numFmtId="181" fontId="100" fillId="47" borderId="31" xfId="0" applyNumberFormat="1" applyFont="1" applyFill="1" applyBorder="1" applyAlignment="1" applyProtection="1">
      <alignment horizontal="center"/>
      <protection/>
    </xf>
    <xf numFmtId="0" fontId="23" fillId="49" borderId="0" xfId="0" applyFont="1" applyFill="1" applyBorder="1" applyAlignment="1" applyProtection="1">
      <alignment/>
      <protection hidden="1"/>
    </xf>
    <xf numFmtId="0" fontId="10" fillId="49" borderId="0" xfId="0" applyFont="1" applyFill="1" applyBorder="1" applyAlignment="1" applyProtection="1">
      <alignment horizontal="left"/>
      <protection hidden="1"/>
    </xf>
    <xf numFmtId="0" fontId="36" fillId="49" borderId="0" xfId="0" applyFont="1" applyFill="1" applyBorder="1" applyAlignment="1" applyProtection="1">
      <alignment/>
      <protection hidden="1"/>
    </xf>
    <xf numFmtId="0" fontId="36" fillId="49" borderId="0" xfId="0" applyFont="1" applyFill="1" applyBorder="1" applyAlignment="1" applyProtection="1">
      <alignment horizontal="right"/>
      <protection hidden="1"/>
    </xf>
    <xf numFmtId="0" fontId="33" fillId="49" borderId="0" xfId="0" applyFont="1" applyFill="1" applyBorder="1" applyAlignment="1" applyProtection="1">
      <alignment/>
      <protection hidden="1"/>
    </xf>
    <xf numFmtId="0" fontId="33" fillId="49" borderId="0" xfId="0" applyFont="1" applyFill="1" applyBorder="1" applyAlignment="1" applyProtection="1">
      <alignment horizontal="right"/>
      <protection hidden="1"/>
    </xf>
    <xf numFmtId="11" fontId="9" fillId="49" borderId="0" xfId="0" applyNumberFormat="1" applyFont="1" applyFill="1" applyBorder="1" applyAlignment="1" applyProtection="1">
      <alignment/>
      <protection hidden="1"/>
    </xf>
    <xf numFmtId="11" fontId="11" fillId="49" borderId="0" xfId="0" applyNumberFormat="1" applyFont="1" applyFill="1" applyBorder="1" applyAlignment="1" applyProtection="1">
      <alignment/>
      <protection hidden="1"/>
    </xf>
    <xf numFmtId="0" fontId="14" fillId="49" borderId="0" xfId="0" applyFont="1" applyFill="1" applyBorder="1" applyAlignment="1" applyProtection="1">
      <alignment horizontal="right"/>
      <protection hidden="1"/>
    </xf>
    <xf numFmtId="184" fontId="30" fillId="49" borderId="0" xfId="0" applyNumberFormat="1" applyFont="1" applyFill="1" applyBorder="1" applyAlignment="1" applyProtection="1">
      <alignment horizontal="left"/>
      <protection hidden="1"/>
    </xf>
    <xf numFmtId="184" fontId="0" fillId="49" borderId="0" xfId="0" applyNumberFormat="1" applyFill="1" applyAlignment="1">
      <alignment horizontal="left"/>
    </xf>
    <xf numFmtId="0" fontId="20" fillId="49" borderId="0" xfId="0" applyFont="1" applyFill="1" applyBorder="1" applyAlignment="1" applyProtection="1">
      <alignment horizontal="center"/>
      <protection hidden="1"/>
    </xf>
    <xf numFmtId="0" fontId="14" fillId="49" borderId="0" xfId="0" applyFont="1" applyFill="1" applyBorder="1" applyAlignment="1" applyProtection="1">
      <alignment/>
      <protection hidden="1"/>
    </xf>
    <xf numFmtId="181" fontId="30" fillId="49" borderId="0" xfId="0" applyNumberFormat="1" applyFont="1" applyFill="1" applyBorder="1" applyAlignment="1" applyProtection="1">
      <alignment horizontal="center"/>
      <protection hidden="1"/>
    </xf>
    <xf numFmtId="0" fontId="85" fillId="49" borderId="0" xfId="0" applyFont="1" applyFill="1" applyAlignment="1" applyProtection="1">
      <alignment horizontal="center"/>
      <protection hidden="1"/>
    </xf>
    <xf numFmtId="0" fontId="60" fillId="37" borderId="0" xfId="0" applyFont="1" applyFill="1" applyBorder="1" applyAlignment="1" applyProtection="1">
      <alignment horizontal="left"/>
      <protection hidden="1"/>
    </xf>
    <xf numFmtId="0" fontId="9" fillId="49" borderId="0" xfId="0" applyFont="1" applyFill="1" applyAlignment="1" applyProtection="1">
      <alignment/>
      <protection hidden="1"/>
    </xf>
    <xf numFmtId="0" fontId="9" fillId="49" borderId="0" xfId="0" applyFont="1" applyFill="1" applyBorder="1" applyAlignment="1" applyProtection="1">
      <alignment/>
      <protection hidden="1"/>
    </xf>
    <xf numFmtId="0" fontId="13" fillId="49" borderId="0" xfId="0" applyFont="1" applyFill="1" applyAlignment="1" applyProtection="1">
      <alignment/>
      <protection hidden="1"/>
    </xf>
    <xf numFmtId="0" fontId="32" fillId="49" borderId="0" xfId="0" applyFont="1" applyFill="1" applyBorder="1" applyAlignment="1" applyProtection="1">
      <alignment/>
      <protection hidden="1"/>
    </xf>
    <xf numFmtId="0" fontId="13" fillId="49" borderId="0" xfId="0" applyFont="1" applyFill="1" applyBorder="1" applyAlignment="1" applyProtection="1">
      <alignment/>
      <protection hidden="1"/>
    </xf>
    <xf numFmtId="0" fontId="13" fillId="49" borderId="0" xfId="0" applyFont="1" applyFill="1" applyBorder="1" applyAlignment="1" applyProtection="1">
      <alignment horizontal="center"/>
      <protection hidden="1"/>
    </xf>
    <xf numFmtId="0" fontId="23" fillId="50" borderId="0" xfId="0" applyFont="1" applyFill="1" applyBorder="1" applyAlignment="1" applyProtection="1">
      <alignment/>
      <protection hidden="1"/>
    </xf>
    <xf numFmtId="0" fontId="33" fillId="50" borderId="0" xfId="0" applyFont="1" applyFill="1" applyBorder="1" applyAlignment="1" applyProtection="1">
      <alignment horizontal="right"/>
      <protection hidden="1"/>
    </xf>
    <xf numFmtId="0" fontId="13" fillId="50" borderId="0" xfId="0" applyFont="1" applyFill="1" applyBorder="1" applyAlignment="1" applyProtection="1">
      <alignment horizontal="center"/>
      <protection hidden="1"/>
    </xf>
    <xf numFmtId="11" fontId="9" fillId="50" borderId="0" xfId="0" applyNumberFormat="1" applyFont="1" applyFill="1" applyBorder="1" applyAlignment="1" applyProtection="1">
      <alignment/>
      <protection hidden="1"/>
    </xf>
    <xf numFmtId="11" fontId="11" fillId="50" borderId="0" xfId="0" applyNumberFormat="1" applyFont="1" applyFill="1" applyBorder="1" applyAlignment="1" applyProtection="1">
      <alignment/>
      <protection hidden="1"/>
    </xf>
    <xf numFmtId="0" fontId="33" fillId="50" borderId="0" xfId="0" applyFont="1" applyFill="1" applyBorder="1" applyAlignment="1" applyProtection="1">
      <alignment/>
      <protection hidden="1"/>
    </xf>
    <xf numFmtId="0" fontId="14" fillId="50" borderId="0" xfId="0" applyFont="1" applyFill="1" applyBorder="1" applyAlignment="1" applyProtection="1">
      <alignment horizontal="right"/>
      <protection hidden="1"/>
    </xf>
    <xf numFmtId="181" fontId="30" fillId="50" borderId="0" xfId="0" applyNumberFormat="1" applyFont="1" applyFill="1" applyBorder="1" applyAlignment="1" applyProtection="1">
      <alignment horizontal="center"/>
      <protection hidden="1"/>
    </xf>
    <xf numFmtId="0" fontId="14" fillId="50" borderId="0" xfId="0" applyFont="1" applyFill="1" applyBorder="1" applyAlignment="1" applyProtection="1">
      <alignment/>
      <protection hidden="1"/>
    </xf>
    <xf numFmtId="0" fontId="13" fillId="50" borderId="0" xfId="0" applyFont="1" applyFill="1" applyBorder="1" applyAlignment="1" applyProtection="1">
      <alignment horizontal="left"/>
      <protection hidden="1"/>
    </xf>
    <xf numFmtId="0" fontId="9" fillId="50" borderId="0" xfId="0" applyFont="1" applyFill="1" applyBorder="1" applyAlignment="1" applyProtection="1">
      <alignment/>
      <protection hidden="1"/>
    </xf>
    <xf numFmtId="0" fontId="13" fillId="50" borderId="0" xfId="0" applyFont="1" applyFill="1" applyBorder="1" applyAlignment="1" applyProtection="1">
      <alignment/>
      <protection hidden="1"/>
    </xf>
    <xf numFmtId="0" fontId="9" fillId="50" borderId="13" xfId="0" applyFont="1" applyFill="1" applyBorder="1" applyAlignment="1" applyProtection="1">
      <alignment/>
      <protection hidden="1"/>
    </xf>
    <xf numFmtId="0" fontId="9" fillId="50" borderId="0" xfId="0" applyFont="1" applyFill="1" applyBorder="1" applyAlignment="1" applyProtection="1">
      <alignment horizontal="center"/>
      <protection hidden="1"/>
    </xf>
    <xf numFmtId="0" fontId="9" fillId="49" borderId="0" xfId="0" applyFont="1" applyFill="1" applyBorder="1" applyAlignment="1" applyProtection="1">
      <alignment horizontal="center"/>
      <protection hidden="1"/>
    </xf>
    <xf numFmtId="0" fontId="13" fillId="49" borderId="0" xfId="0" applyFont="1" applyFill="1" applyBorder="1" applyAlignment="1" applyProtection="1">
      <alignment/>
      <protection hidden="1"/>
    </xf>
    <xf numFmtId="0" fontId="9" fillId="49" borderId="13" xfId="0" applyFont="1" applyFill="1" applyBorder="1" applyAlignment="1" applyProtection="1">
      <alignment/>
      <protection hidden="1"/>
    </xf>
    <xf numFmtId="0" fontId="9" fillId="49" borderId="24" xfId="0" applyFont="1" applyFill="1" applyBorder="1" applyAlignment="1" applyProtection="1">
      <alignment/>
      <protection hidden="1"/>
    </xf>
    <xf numFmtId="0" fontId="9" fillId="49" borderId="12" xfId="0" applyFont="1" applyFill="1" applyBorder="1" applyAlignment="1" applyProtection="1">
      <alignment/>
      <protection hidden="1"/>
    </xf>
    <xf numFmtId="0" fontId="40" fillId="49" borderId="0" xfId="0" applyFont="1" applyFill="1" applyBorder="1" applyAlignment="1" applyProtection="1">
      <alignment/>
      <protection hidden="1"/>
    </xf>
    <xf numFmtId="0" fontId="13" fillId="49" borderId="0" xfId="0" applyFont="1" applyFill="1" applyBorder="1" applyAlignment="1" applyProtection="1">
      <alignment horizontal="right"/>
      <protection hidden="1"/>
    </xf>
    <xf numFmtId="0" fontId="42" fillId="49" borderId="0" xfId="0" applyFont="1" applyFill="1" applyBorder="1" applyAlignment="1" applyProtection="1">
      <alignment/>
      <protection hidden="1"/>
    </xf>
    <xf numFmtId="2" fontId="30" fillId="49" borderId="0" xfId="0" applyNumberFormat="1" applyFont="1" applyFill="1" applyBorder="1" applyAlignment="1" applyProtection="1">
      <alignment/>
      <protection hidden="1"/>
    </xf>
    <xf numFmtId="0" fontId="30" fillId="49" borderId="0" xfId="0" applyFont="1" applyFill="1" applyBorder="1" applyAlignment="1" applyProtection="1">
      <alignment/>
      <protection hidden="1"/>
    </xf>
    <xf numFmtId="1" fontId="20" fillId="49" borderId="0" xfId="0" applyNumberFormat="1" applyFont="1" applyFill="1" applyBorder="1" applyAlignment="1" applyProtection="1">
      <alignment/>
      <protection hidden="1"/>
    </xf>
    <xf numFmtId="0" fontId="20" fillId="49" borderId="0" xfId="0" applyFont="1" applyFill="1" applyBorder="1" applyAlignment="1" applyProtection="1">
      <alignment/>
      <protection hidden="1"/>
    </xf>
    <xf numFmtId="0" fontId="66" fillId="49" borderId="0" xfId="0" applyFont="1" applyFill="1" applyBorder="1" applyAlignment="1" applyProtection="1">
      <alignment/>
      <protection hidden="1"/>
    </xf>
    <xf numFmtId="0" fontId="73" fillId="49" borderId="0" xfId="0" applyFont="1" applyFill="1" applyBorder="1" applyAlignment="1" applyProtection="1">
      <alignment/>
      <protection hidden="1"/>
    </xf>
    <xf numFmtId="0" fontId="60" fillId="49" borderId="0" xfId="0" applyFont="1" applyFill="1" applyBorder="1" applyAlignment="1" applyProtection="1">
      <alignment/>
      <protection hidden="1"/>
    </xf>
    <xf numFmtId="0" fontId="60" fillId="49" borderId="0" xfId="0" applyFont="1" applyFill="1" applyBorder="1" applyAlignment="1" applyProtection="1">
      <alignment horizontal="right"/>
      <protection hidden="1"/>
    </xf>
    <xf numFmtId="0" fontId="60" fillId="49" borderId="0" xfId="0" applyFont="1" applyFill="1" applyBorder="1" applyAlignment="1" applyProtection="1">
      <alignment horizontal="right"/>
      <protection hidden="1"/>
    </xf>
    <xf numFmtId="0" fontId="83" fillId="46" borderId="0" xfId="0" applyFont="1" applyFill="1" applyBorder="1" applyAlignment="1" applyProtection="1">
      <alignment horizontal="left"/>
      <protection hidden="1"/>
    </xf>
    <xf numFmtId="0" fontId="44" fillId="46" borderId="0" xfId="0" applyFont="1" applyFill="1" applyBorder="1" applyAlignment="1" applyProtection="1">
      <alignment horizontal="left"/>
      <protection hidden="1"/>
    </xf>
    <xf numFmtId="0" fontId="9" fillId="46" borderId="0" xfId="0" applyFont="1" applyFill="1" applyBorder="1" applyAlignment="1" applyProtection="1">
      <alignment/>
      <protection hidden="1"/>
    </xf>
    <xf numFmtId="0" fontId="33" fillId="46" borderId="0" xfId="0" applyFont="1" applyFill="1" applyBorder="1" applyAlignment="1" applyProtection="1">
      <alignment/>
      <protection hidden="1"/>
    </xf>
    <xf numFmtId="0" fontId="9" fillId="46" borderId="0" xfId="0" applyFont="1" applyFill="1" applyAlignment="1" applyProtection="1">
      <alignment/>
      <protection hidden="1"/>
    </xf>
    <xf numFmtId="0" fontId="12" fillId="42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66" fillId="37" borderId="0" xfId="0" applyFont="1" applyFill="1" applyAlignment="1" applyProtection="1">
      <alignment/>
      <protection hidden="1"/>
    </xf>
    <xf numFmtId="185" fontId="30" fillId="0" borderId="15" xfId="0" applyNumberFormat="1" applyFont="1" applyFill="1" applyBorder="1" applyAlignment="1" applyProtection="1">
      <alignment horizontal="right"/>
      <protection hidden="1"/>
    </xf>
    <xf numFmtId="0" fontId="20" fillId="0" borderId="15" xfId="0" applyFont="1" applyFill="1" applyBorder="1" applyAlignment="1" applyProtection="1">
      <alignment horizontal="right"/>
      <protection hidden="1"/>
    </xf>
    <xf numFmtId="0" fontId="19" fillId="0" borderId="15" xfId="0" applyFont="1" applyFill="1" applyBorder="1" applyAlignment="1" applyProtection="1">
      <alignment horizontal="left"/>
      <protection hidden="1"/>
    </xf>
    <xf numFmtId="0" fontId="30" fillId="0" borderId="13" xfId="0" applyFont="1" applyFill="1" applyBorder="1" applyAlignment="1" applyProtection="1">
      <alignment horizontal="center"/>
      <protection hidden="1"/>
    </xf>
    <xf numFmtId="187" fontId="30" fillId="0" borderId="13" xfId="0" applyNumberFormat="1" applyFont="1" applyFill="1" applyBorder="1" applyAlignment="1" applyProtection="1">
      <alignment horizontal="left"/>
      <protection hidden="1"/>
    </xf>
    <xf numFmtId="2" fontId="30" fillId="0" borderId="12" xfId="0" applyNumberFormat="1" applyFont="1" applyFill="1" applyBorder="1" applyAlignment="1" applyProtection="1">
      <alignment horizontal="right"/>
      <protection hidden="1"/>
    </xf>
    <xf numFmtId="192" fontId="30" fillId="0" borderId="24" xfId="0" applyNumberFormat="1" applyFont="1" applyFill="1" applyBorder="1" applyAlignment="1" applyProtection="1">
      <alignment horizontal="left"/>
      <protection hidden="1"/>
    </xf>
    <xf numFmtId="180" fontId="30" fillId="0" borderId="12" xfId="0" applyNumberFormat="1" applyFont="1" applyFill="1" applyBorder="1" applyAlignment="1" applyProtection="1">
      <alignment/>
      <protection hidden="1"/>
    </xf>
    <xf numFmtId="1" fontId="28" fillId="0" borderId="10" xfId="0" applyNumberFormat="1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28" fillId="0" borderId="22" xfId="0" applyFont="1" applyFill="1" applyBorder="1" applyAlignment="1" applyProtection="1">
      <alignment horizontal="right"/>
      <protection hidden="1"/>
    </xf>
    <xf numFmtId="0" fontId="102" fillId="43" borderId="0" xfId="0" applyFont="1" applyFill="1" applyBorder="1" applyAlignment="1" applyProtection="1">
      <alignment/>
      <protection hidden="1"/>
    </xf>
    <xf numFmtId="0" fontId="103" fillId="43" borderId="0" xfId="0" applyFont="1" applyFill="1" applyBorder="1" applyAlignment="1" applyProtection="1">
      <alignment/>
      <protection hidden="1"/>
    </xf>
    <xf numFmtId="0" fontId="103" fillId="42" borderId="0" xfId="0" applyFont="1" applyFill="1" applyBorder="1" applyAlignment="1" applyProtection="1">
      <alignment/>
      <protection hidden="1"/>
    </xf>
    <xf numFmtId="1" fontId="104" fillId="43" borderId="0" xfId="0" applyNumberFormat="1" applyFont="1" applyFill="1" applyBorder="1" applyAlignment="1" applyProtection="1">
      <alignment horizontal="center"/>
      <protection hidden="1"/>
    </xf>
    <xf numFmtId="0" fontId="103" fillId="43" borderId="0" xfId="0" applyFont="1" applyFill="1" applyBorder="1" applyAlignment="1" applyProtection="1">
      <alignment horizontal="right"/>
      <protection hidden="1"/>
    </xf>
    <xf numFmtId="0" fontId="14" fillId="44" borderId="17" xfId="0" applyFont="1" applyFill="1" applyBorder="1" applyAlignment="1" applyProtection="1">
      <alignment horizontal="right"/>
      <protection hidden="1"/>
    </xf>
    <xf numFmtId="0" fontId="9" fillId="51" borderId="0" xfId="0" applyFont="1" applyFill="1" applyAlignment="1" applyProtection="1">
      <alignment/>
      <protection hidden="1"/>
    </xf>
    <xf numFmtId="0" fontId="45" fillId="51" borderId="0" xfId="0" applyFont="1" applyFill="1" applyBorder="1" applyAlignment="1" applyProtection="1">
      <alignment horizontal="left"/>
      <protection hidden="1"/>
    </xf>
    <xf numFmtId="0" fontId="105" fillId="42" borderId="0" xfId="0" applyFont="1" applyFill="1" applyAlignment="1" applyProtection="1">
      <alignment/>
      <protection hidden="1"/>
    </xf>
    <xf numFmtId="0" fontId="44" fillId="42" borderId="0" xfId="0" applyFont="1" applyFill="1" applyAlignment="1" applyProtection="1">
      <alignment/>
      <protection hidden="1"/>
    </xf>
    <xf numFmtId="0" fontId="9" fillId="44" borderId="0" xfId="0" applyFont="1" applyFill="1" applyBorder="1" applyAlignment="1" applyProtection="1">
      <alignment/>
      <protection hidden="1"/>
    </xf>
    <xf numFmtId="0" fontId="91" fillId="44" borderId="0" xfId="0" applyFont="1" applyFill="1" applyBorder="1" applyAlignment="1" applyProtection="1">
      <alignment/>
      <protection hidden="1"/>
    </xf>
    <xf numFmtId="0" fontId="92" fillId="44" borderId="17" xfId="0" applyFont="1" applyFill="1" applyBorder="1" applyAlignment="1" applyProtection="1">
      <alignment/>
      <protection hidden="1"/>
    </xf>
    <xf numFmtId="0" fontId="48" fillId="0" borderId="16" xfId="0" applyFont="1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12" fillId="45" borderId="0" xfId="0" applyFont="1" applyFill="1" applyBorder="1" applyAlignment="1" applyProtection="1">
      <alignment horizontal="left"/>
      <protection hidden="1"/>
    </xf>
    <xf numFmtId="0" fontId="34" fillId="45" borderId="0" xfId="0" applyFont="1" applyFill="1" applyBorder="1" applyAlignment="1" applyProtection="1">
      <alignment horizontal="left"/>
      <protection hidden="1"/>
    </xf>
    <xf numFmtId="0" fontId="9" fillId="45" borderId="0" xfId="0" applyFont="1" applyFill="1" applyBorder="1" applyAlignment="1" applyProtection="1">
      <alignment/>
      <protection hidden="1"/>
    </xf>
    <xf numFmtId="0" fontId="32" fillId="45" borderId="0" xfId="0" applyFont="1" applyFill="1" applyBorder="1" applyAlignment="1" applyProtection="1">
      <alignment/>
      <protection hidden="1"/>
    </xf>
    <xf numFmtId="0" fontId="33" fillId="45" borderId="0" xfId="0" applyFont="1" applyFill="1" applyBorder="1" applyAlignment="1" applyProtection="1">
      <alignment/>
      <protection hidden="1"/>
    </xf>
    <xf numFmtId="0" fontId="33" fillId="52" borderId="16" xfId="0" applyFont="1" applyFill="1" applyBorder="1" applyAlignment="1" applyProtection="1">
      <alignment/>
      <protection hidden="1"/>
    </xf>
    <xf numFmtId="0" fontId="81" fillId="52" borderId="16" xfId="0" applyFont="1" applyFill="1" applyBorder="1" applyAlignment="1" applyProtection="1">
      <alignment/>
      <protection hidden="1"/>
    </xf>
    <xf numFmtId="0" fontId="33" fillId="52" borderId="0" xfId="0" applyFont="1" applyFill="1" applyAlignment="1" applyProtection="1">
      <alignment/>
      <protection hidden="1"/>
    </xf>
    <xf numFmtId="2" fontId="59" fillId="0" borderId="22" xfId="0" applyNumberFormat="1" applyFont="1" applyFill="1" applyBorder="1" applyAlignment="1" applyProtection="1">
      <alignment horizontal="left"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72" fillId="41" borderId="11" xfId="0" applyFont="1" applyFill="1" applyBorder="1" applyAlignment="1" applyProtection="1">
      <alignment horizontal="right"/>
      <protection hidden="1"/>
    </xf>
    <xf numFmtId="0" fontId="72" fillId="41" borderId="15" xfId="0" applyFont="1" applyFill="1" applyBorder="1" applyAlignment="1" applyProtection="1">
      <alignment horizontal="right"/>
      <protection hidden="1"/>
    </xf>
    <xf numFmtId="199" fontId="19" fillId="0" borderId="13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/>
      <protection hidden="1"/>
    </xf>
    <xf numFmtId="0" fontId="30" fillId="0" borderId="13" xfId="0" applyFont="1" applyFill="1" applyBorder="1" applyAlignment="1" applyProtection="1">
      <alignment horizontal="left"/>
      <protection hidden="1"/>
    </xf>
    <xf numFmtId="0" fontId="28" fillId="0" borderId="13" xfId="0" applyFont="1" applyFill="1" applyBorder="1" applyAlignment="1" applyProtection="1">
      <alignment/>
      <protection hidden="1"/>
    </xf>
    <xf numFmtId="0" fontId="33" fillId="52" borderId="0" xfId="0" applyFont="1" applyFill="1" applyBorder="1" applyAlignment="1" applyProtection="1">
      <alignment/>
      <protection hidden="1"/>
    </xf>
    <xf numFmtId="0" fontId="81" fillId="52" borderId="0" xfId="0" applyFont="1" applyFill="1" applyBorder="1" applyAlignment="1" applyProtection="1">
      <alignment/>
      <protection hidden="1"/>
    </xf>
    <xf numFmtId="0" fontId="81" fillId="34" borderId="0" xfId="0" applyFont="1" applyFill="1" applyBorder="1" applyAlignment="1" applyProtection="1">
      <alignment/>
      <protection hidden="1"/>
    </xf>
    <xf numFmtId="0" fontId="32" fillId="43" borderId="0" xfId="0" applyFont="1" applyFill="1" applyBorder="1" applyAlignment="1" applyProtection="1">
      <alignment/>
      <protection hidden="1"/>
    </xf>
    <xf numFmtId="0" fontId="32" fillId="43" borderId="0" xfId="0" applyFont="1" applyFill="1" applyBorder="1" applyAlignment="1" applyProtection="1">
      <alignment horizontal="right"/>
      <protection hidden="1"/>
    </xf>
    <xf numFmtId="1" fontId="81" fillId="43" borderId="0" xfId="0" applyNumberFormat="1" applyFont="1" applyFill="1" applyBorder="1" applyAlignment="1" applyProtection="1">
      <alignment horizontal="left"/>
      <protection hidden="1"/>
    </xf>
    <xf numFmtId="1" fontId="81" fillId="43" borderId="0" xfId="0" applyNumberFormat="1" applyFont="1" applyFill="1" applyBorder="1" applyAlignment="1" applyProtection="1">
      <alignment horizontal="right"/>
      <protection hidden="1"/>
    </xf>
    <xf numFmtId="0" fontId="32" fillId="43" borderId="0" xfId="0" applyFont="1" applyFill="1" applyBorder="1" applyAlignment="1" applyProtection="1">
      <alignment horizontal="left"/>
      <protection hidden="1"/>
    </xf>
    <xf numFmtId="0" fontId="32" fillId="43" borderId="0" xfId="0" applyFont="1" applyFill="1" applyBorder="1" applyAlignment="1" applyProtection="1">
      <alignment horizontal="center"/>
      <protection hidden="1"/>
    </xf>
    <xf numFmtId="0" fontId="81" fillId="43" borderId="0" xfId="0" applyFont="1" applyFill="1" applyBorder="1" applyAlignment="1" applyProtection="1">
      <alignment/>
      <protection hidden="1"/>
    </xf>
    <xf numFmtId="0" fontId="81" fillId="43" borderId="0" xfId="0" applyFont="1" applyFill="1" applyAlignment="1" applyProtection="1">
      <alignment/>
      <protection hidden="1"/>
    </xf>
    <xf numFmtId="1" fontId="81" fillId="42" borderId="0" xfId="0" applyNumberFormat="1" applyFont="1" applyFill="1" applyBorder="1" applyAlignment="1" applyProtection="1">
      <alignment/>
      <protection hidden="1"/>
    </xf>
    <xf numFmtId="0" fontId="32" fillId="42" borderId="0" xfId="0" applyFont="1" applyFill="1" applyBorder="1" applyAlignment="1" applyProtection="1">
      <alignment/>
      <protection hidden="1"/>
    </xf>
    <xf numFmtId="2" fontId="32" fillId="43" borderId="0" xfId="0" applyNumberFormat="1" applyFont="1" applyFill="1" applyBorder="1" applyAlignment="1" applyProtection="1">
      <alignment horizontal="center"/>
      <protection hidden="1"/>
    </xf>
    <xf numFmtId="0" fontId="108" fillId="43" borderId="0" xfId="0" applyFont="1" applyFill="1" applyBorder="1" applyAlignment="1" applyProtection="1">
      <alignment/>
      <protection hidden="1"/>
    </xf>
    <xf numFmtId="0" fontId="81" fillId="43" borderId="0" xfId="0" applyFont="1" applyFill="1" applyBorder="1" applyAlignment="1" applyProtection="1">
      <alignment horizontal="center"/>
      <protection hidden="1"/>
    </xf>
    <xf numFmtId="0" fontId="32" fillId="34" borderId="0" xfId="0" applyFont="1" applyFill="1" applyAlignment="1" applyProtection="1">
      <alignment/>
      <protection hidden="1"/>
    </xf>
    <xf numFmtId="0" fontId="32" fillId="34" borderId="0" xfId="0" applyFont="1" applyFill="1" applyAlignment="1" applyProtection="1">
      <alignment horizontal="right"/>
      <protection hidden="1"/>
    </xf>
    <xf numFmtId="0" fontId="32" fillId="34" borderId="0" xfId="0" applyFont="1" applyFill="1" applyAlignment="1" applyProtection="1">
      <alignment horizontal="left"/>
      <protection hidden="1"/>
    </xf>
    <xf numFmtId="0" fontId="32" fillId="37" borderId="0" xfId="0" applyFont="1" applyFill="1" applyAlignment="1" applyProtection="1">
      <alignment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37" fillId="0" borderId="13" xfId="0" applyFont="1" applyFill="1" applyBorder="1" applyAlignment="1" applyProtection="1">
      <alignment horizontal="center"/>
      <protection hidden="1"/>
    </xf>
    <xf numFmtId="0" fontId="56" fillId="0" borderId="24" xfId="0" applyFont="1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/>
      <protection hidden="1"/>
    </xf>
    <xf numFmtId="49" fontId="42" fillId="0" borderId="12" xfId="0" applyNumberFormat="1" applyFont="1" applyFill="1" applyBorder="1" applyAlignment="1" applyProtection="1">
      <alignment/>
      <protection hidden="1"/>
    </xf>
    <xf numFmtId="49" fontId="42" fillId="0" borderId="13" xfId="0" applyNumberFormat="1" applyFont="1" applyFill="1" applyBorder="1" applyAlignment="1" applyProtection="1">
      <alignment horizontal="center"/>
      <protection hidden="1"/>
    </xf>
    <xf numFmtId="49" fontId="30" fillId="0" borderId="13" xfId="0" applyNumberFormat="1" applyFont="1" applyFill="1" applyBorder="1" applyAlignment="1" applyProtection="1">
      <alignment horizontal="left"/>
      <protection hidden="1"/>
    </xf>
    <xf numFmtId="0" fontId="23" fillId="44" borderId="17" xfId="0" applyFont="1" applyFill="1" applyBorder="1" applyAlignment="1" applyProtection="1">
      <alignment/>
      <protection hidden="1"/>
    </xf>
    <xf numFmtId="0" fontId="37" fillId="0" borderId="13" xfId="0" applyFont="1" applyFill="1" applyBorder="1" applyAlignment="1" applyProtection="1">
      <alignment horizontal="left"/>
      <protection hidden="1"/>
    </xf>
    <xf numFmtId="0" fontId="42" fillId="0" borderId="24" xfId="0" applyFont="1" applyFill="1" applyBorder="1" applyAlignment="1" applyProtection="1">
      <alignment horizontal="left"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2" fillId="34" borderId="0" xfId="0" applyFont="1" applyFill="1" applyAlignment="1" applyProtection="1">
      <alignment horizontal="center"/>
      <protection hidden="1"/>
    </xf>
    <xf numFmtId="0" fontId="32" fillId="37" borderId="0" xfId="0" applyFont="1" applyFill="1" applyAlignment="1" applyProtection="1">
      <alignment horizontal="center"/>
      <protection hidden="1"/>
    </xf>
    <xf numFmtId="0" fontId="32" fillId="34" borderId="0" xfId="0" applyFont="1" applyFill="1" applyAlignment="1" applyProtection="1">
      <alignment horizontal="left"/>
      <protection hidden="1"/>
    </xf>
    <xf numFmtId="0" fontId="44" fillId="0" borderId="15" xfId="0" applyFont="1" applyFill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188" fontId="13" fillId="0" borderId="0" xfId="0" applyNumberFormat="1" applyFont="1" applyAlignment="1" applyProtection="1">
      <alignment horizontal="center"/>
      <protection hidden="1"/>
    </xf>
    <xf numFmtId="188" fontId="13" fillId="0" borderId="0" xfId="0" applyNumberFormat="1" applyFont="1" applyAlignment="1" applyProtection="1">
      <alignment/>
      <protection hidden="1"/>
    </xf>
    <xf numFmtId="197" fontId="42" fillId="0" borderId="13" xfId="0" applyNumberFormat="1" applyFont="1" applyFill="1" applyBorder="1" applyAlignment="1" applyProtection="1">
      <alignment horizontal="right"/>
      <protection hidden="1"/>
    </xf>
    <xf numFmtId="2" fontId="30" fillId="0" borderId="16" xfId="0" applyNumberFormat="1" applyFont="1" applyBorder="1" applyAlignment="1" applyProtection="1">
      <alignment horizontal="right"/>
      <protection hidden="1"/>
    </xf>
    <xf numFmtId="0" fontId="38" fillId="0" borderId="16" xfId="0" applyFont="1" applyBorder="1" applyAlignment="1" applyProtection="1">
      <alignment horizontal="right"/>
      <protection hidden="1"/>
    </xf>
    <xf numFmtId="2" fontId="30" fillId="0" borderId="16" xfId="0" applyNumberFormat="1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right"/>
      <protection hidden="1"/>
    </xf>
    <xf numFmtId="180" fontId="42" fillId="0" borderId="10" xfId="0" applyNumberFormat="1" applyFont="1" applyBorder="1" applyAlignment="1" applyProtection="1">
      <alignment horizontal="right"/>
      <protection hidden="1"/>
    </xf>
    <xf numFmtId="0" fontId="109" fillId="34" borderId="0" xfId="0" applyFont="1" applyFill="1" applyBorder="1" applyAlignment="1" applyProtection="1">
      <alignment/>
      <protection hidden="1"/>
    </xf>
    <xf numFmtId="15" fontId="15" fillId="33" borderId="12" xfId="0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96" fontId="15" fillId="33" borderId="12" xfId="0" applyNumberFormat="1" applyFont="1" applyFill="1" applyBorder="1" applyAlignment="1" applyProtection="1">
      <alignment horizontal="center"/>
      <protection locked="0"/>
    </xf>
    <xf numFmtId="196" fontId="106" fillId="33" borderId="13" xfId="0" applyNumberFormat="1" applyFont="1" applyFill="1" applyBorder="1" applyAlignment="1">
      <alignment horizontal="center"/>
    </xf>
    <xf numFmtId="196" fontId="106" fillId="33" borderId="24" xfId="0" applyNumberFormat="1" applyFont="1" applyFill="1" applyBorder="1" applyAlignment="1">
      <alignment horizontal="center"/>
    </xf>
    <xf numFmtId="181" fontId="90" fillId="53" borderId="12" xfId="0" applyNumberFormat="1" applyFont="1" applyFill="1" applyBorder="1" applyAlignment="1" applyProtection="1">
      <alignment horizontal="center"/>
      <protection locked="0"/>
    </xf>
    <xf numFmtId="181" fontId="0" fillId="53" borderId="13" xfId="0" applyNumberFormat="1" applyFill="1" applyBorder="1" applyAlignment="1" applyProtection="1">
      <alignment horizontal="center"/>
      <protection locked="0"/>
    </xf>
    <xf numFmtId="181" fontId="0" fillId="53" borderId="24" xfId="0" applyNumberFormat="1" applyFill="1" applyBorder="1" applyAlignment="1" applyProtection="1">
      <alignment horizontal="center"/>
      <protection locked="0"/>
    </xf>
    <xf numFmtId="15" fontId="50" fillId="43" borderId="0" xfId="0" applyNumberFormat="1" applyFont="1" applyFill="1" applyAlignment="1" applyProtection="1">
      <alignment horizontal="left"/>
      <protection hidden="1"/>
    </xf>
    <xf numFmtId="0" fontId="0" fillId="43" borderId="0" xfId="0" applyFill="1" applyAlignment="1">
      <alignment horizontal="left"/>
    </xf>
    <xf numFmtId="0" fontId="0" fillId="0" borderId="0" xfId="0" applyAlignment="1">
      <alignment horizontal="left"/>
    </xf>
    <xf numFmtId="0" fontId="36" fillId="0" borderId="16" xfId="0" applyFont="1" applyFill="1" applyBorder="1" applyAlignment="1" applyProtection="1">
      <alignment horizontal="right"/>
      <protection hidden="1"/>
    </xf>
    <xf numFmtId="0" fontId="62" fillId="0" borderId="0" xfId="0" applyFont="1" applyFill="1" applyBorder="1" applyAlignment="1">
      <alignment/>
    </xf>
    <xf numFmtId="0" fontId="47" fillId="0" borderId="16" xfId="0" applyFont="1" applyFill="1" applyBorder="1" applyAlignment="1" applyProtection="1">
      <alignment horizontal="right"/>
      <protection hidden="1"/>
    </xf>
    <xf numFmtId="0" fontId="93" fillId="0" borderId="0" xfId="0" applyFont="1" applyFill="1" applyBorder="1" applyAlignment="1">
      <alignment/>
    </xf>
    <xf numFmtId="0" fontId="93" fillId="0" borderId="17" xfId="0" applyFont="1" applyFill="1" applyBorder="1" applyAlignment="1">
      <alignment/>
    </xf>
    <xf numFmtId="0" fontId="50" fillId="0" borderId="16" xfId="0" applyFont="1" applyFill="1" applyBorder="1" applyAlignment="1" applyProtection="1">
      <alignment horizontal="right"/>
      <protection hidden="1"/>
    </xf>
    <xf numFmtId="0" fontId="101" fillId="0" borderId="0" xfId="0" applyFont="1" applyFill="1" applyBorder="1" applyAlignment="1">
      <alignment/>
    </xf>
    <xf numFmtId="0" fontId="101" fillId="0" borderId="17" xfId="0" applyFont="1" applyFill="1" applyBorder="1" applyAlignment="1">
      <alignment/>
    </xf>
    <xf numFmtId="181" fontId="35" fillId="35" borderId="0" xfId="0" applyNumberFormat="1" applyFont="1" applyFill="1" applyBorder="1" applyAlignment="1" applyProtection="1">
      <alignment horizontal="center"/>
      <protection hidden="1"/>
    </xf>
    <xf numFmtId="2" fontId="13" fillId="0" borderId="15" xfId="0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15" fontId="9" fillId="39" borderId="0" xfId="0" applyNumberFormat="1" applyFont="1" applyFill="1" applyBorder="1" applyAlignment="1" applyProtection="1">
      <alignment horizontal="left"/>
      <protection hidden="1"/>
    </xf>
    <xf numFmtId="0" fontId="9" fillId="39" borderId="0" xfId="0" applyFont="1" applyFill="1" applyAlignment="1">
      <alignment/>
    </xf>
    <xf numFmtId="194" fontId="30" fillId="0" borderId="12" xfId="0" applyNumberFormat="1" applyFont="1" applyFill="1" applyBorder="1" applyAlignment="1" applyProtection="1">
      <alignment horizontal="center"/>
      <protection hidden="1"/>
    </xf>
    <xf numFmtId="194" fontId="0" fillId="0" borderId="24" xfId="0" applyNumberFormat="1" applyBorder="1" applyAlignment="1">
      <alignment horizontal="center"/>
    </xf>
    <xf numFmtId="185" fontId="20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/>
    </xf>
    <xf numFmtId="15" fontId="33" fillId="49" borderId="0" xfId="0" applyNumberFormat="1" applyFont="1" applyFill="1" applyBorder="1" applyAlignment="1" applyProtection="1">
      <alignment horizontal="left"/>
      <protection hidden="1"/>
    </xf>
    <xf numFmtId="0" fontId="33" fillId="49" borderId="0" xfId="0" applyFont="1" applyFill="1" applyAlignment="1" applyProtection="1">
      <alignment/>
      <protection hidden="1"/>
    </xf>
    <xf numFmtId="184" fontId="30" fillId="49" borderId="0" xfId="0" applyNumberFormat="1" applyFont="1" applyFill="1" applyBorder="1" applyAlignment="1" applyProtection="1">
      <alignment horizontal="left"/>
      <protection hidden="1"/>
    </xf>
    <xf numFmtId="184" fontId="0" fillId="49" borderId="0" xfId="0" applyNumberFormat="1" applyFill="1" applyAlignment="1">
      <alignment horizontal="left"/>
    </xf>
    <xf numFmtId="194" fontId="30" fillId="0" borderId="14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/>
    </xf>
    <xf numFmtId="185" fontId="20" fillId="0" borderId="14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>
      <alignment horizontal="center"/>
    </xf>
    <xf numFmtId="194" fontId="30" fillId="0" borderId="16" xfId="0" applyNumberFormat="1" applyFont="1" applyFill="1" applyBorder="1" applyAlignment="1" applyProtection="1">
      <alignment horizontal="center"/>
      <protection hidden="1"/>
    </xf>
    <xf numFmtId="194" fontId="0" fillId="0" borderId="17" xfId="0" applyNumberFormat="1" applyBorder="1" applyAlignment="1">
      <alignment horizontal="center"/>
    </xf>
    <xf numFmtId="185" fontId="20" fillId="0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5" fontId="33" fillId="34" borderId="0" xfId="0" applyNumberFormat="1" applyFont="1" applyFill="1" applyBorder="1" applyAlignment="1" applyProtection="1">
      <alignment horizontal="left"/>
      <protection hidden="1"/>
    </xf>
    <xf numFmtId="0" fontId="33" fillId="34" borderId="0" xfId="0" applyFont="1" applyFill="1" applyAlignment="1" applyProtection="1">
      <alignment/>
      <protection hidden="1"/>
    </xf>
    <xf numFmtId="184" fontId="30" fillId="37" borderId="0" xfId="0" applyNumberFormat="1" applyFont="1" applyFill="1" applyBorder="1" applyAlignment="1" applyProtection="1">
      <alignment horizontal="left"/>
      <protection hidden="1"/>
    </xf>
    <xf numFmtId="184" fontId="0" fillId="37" borderId="0" xfId="0" applyNumberFormat="1" applyFill="1" applyAlignment="1">
      <alignment horizontal="left"/>
    </xf>
    <xf numFmtId="200" fontId="19" fillId="0" borderId="13" xfId="0" applyNumberFormat="1" applyFont="1" applyFill="1" applyBorder="1" applyAlignment="1" applyProtection="1">
      <alignment horizontal="right"/>
      <protection hidden="1"/>
    </xf>
    <xf numFmtId="0" fontId="107" fillId="0" borderId="13" xfId="0" applyFont="1" applyBorder="1" applyAlignment="1">
      <alignment/>
    </xf>
    <xf numFmtId="0" fontId="59" fillId="36" borderId="15" xfId="0" applyFont="1" applyFill="1" applyBorder="1" applyAlignment="1" applyProtection="1">
      <alignment horizontal="right"/>
      <protection hidden="1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2" fillId="41" borderId="14" xfId="0" applyFont="1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8" fillId="41" borderId="15" xfId="0" applyFont="1" applyFill="1" applyBorder="1" applyAlignment="1" applyProtection="1">
      <alignment horizontal="left"/>
      <protection hidden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51" fillId="41" borderId="15" xfId="0" applyFont="1" applyFill="1" applyBorder="1" applyAlignment="1" applyProtection="1">
      <alignment/>
      <protection hidden="1"/>
    </xf>
    <xf numFmtId="0" fontId="59" fillId="41" borderId="15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198" fontId="19" fillId="0" borderId="13" xfId="0" applyNumberFormat="1" applyFont="1" applyFill="1" applyBorder="1" applyAlignment="1" applyProtection="1">
      <alignment horizontal="left"/>
      <protection hidden="1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2" fontId="30" fillId="0" borderId="13" xfId="0" applyNumberFormat="1" applyFont="1" applyFill="1" applyBorder="1" applyAlignment="1" applyProtection="1">
      <alignment horizontal="left"/>
      <protection hidden="1"/>
    </xf>
    <xf numFmtId="2" fontId="0" fillId="0" borderId="13" xfId="0" applyNumberFormat="1" applyFill="1" applyBorder="1" applyAlignment="1">
      <alignment horizontal="left"/>
    </xf>
    <xf numFmtId="2" fontId="30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93" fontId="30" fillId="0" borderId="31" xfId="0" applyNumberFormat="1" applyFont="1" applyFill="1" applyBorder="1" applyAlignment="1" applyProtection="1">
      <alignment horizontal="center"/>
      <protection hidden="1"/>
    </xf>
    <xf numFmtId="193" fontId="0" fillId="0" borderId="3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24</xdr:row>
      <xdr:rowOff>85725</xdr:rowOff>
    </xdr:from>
    <xdr:to>
      <xdr:col>14</xdr:col>
      <xdr:colOff>495300</xdr:colOff>
      <xdr:row>29</xdr:row>
      <xdr:rowOff>38100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85725" y="3400425"/>
          <a:ext cx="8877300" cy="12477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                   Una vez introducido el peso, pulsar "enter". 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continuación pulsar en las solapas inferiores (1-Reanimación, 2-Inf Continua, 3-Otros o 4-Antibiots).</a:t>
          </a:r>
        </a:p>
      </xdr:txBody>
    </xdr:sp>
    <xdr:clientData/>
  </xdr:twoCellAnchor>
  <xdr:twoCellAnchor editAs="absolute">
    <xdr:from>
      <xdr:col>0</xdr:col>
      <xdr:colOff>0</xdr:colOff>
      <xdr:row>5</xdr:row>
      <xdr:rowOff>142875</xdr:rowOff>
    </xdr:from>
    <xdr:to>
      <xdr:col>13</xdr:col>
      <xdr:colOff>200025</xdr:colOff>
      <xdr:row>5</xdr:row>
      <xdr:rowOff>409575</xdr:rowOff>
    </xdr:to>
    <xdr:sp fLocksText="0">
      <xdr:nvSpPr>
        <xdr:cNvPr id="2" name="Text Box 42"/>
        <xdr:cNvSpPr txBox="1">
          <a:spLocks noChangeArrowheads="1"/>
        </xdr:cNvSpPr>
      </xdr:nvSpPr>
      <xdr:spPr>
        <a:xfrm>
          <a:off x="0" y="1228725"/>
          <a:ext cx="8134350" cy="2667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114300</xdr:colOff>
      <xdr:row>29</xdr:row>
      <xdr:rowOff>200025</xdr:rowOff>
    </xdr:from>
    <xdr:to>
      <xdr:col>17</xdr:col>
      <xdr:colOff>542925</xdr:colOff>
      <xdr:row>75</xdr:row>
      <xdr:rowOff>542925</xdr:rowOff>
    </xdr:to>
    <xdr:sp>
      <xdr:nvSpPr>
        <xdr:cNvPr id="3" name="Rectangle 15"/>
        <xdr:cNvSpPr>
          <a:spLocks/>
        </xdr:cNvSpPr>
      </xdr:nvSpPr>
      <xdr:spPr>
        <a:xfrm>
          <a:off x="114300" y="4810125"/>
          <a:ext cx="9563100" cy="8963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0</xdr:row>
      <xdr:rowOff>66675</xdr:rowOff>
    </xdr:from>
    <xdr:to>
      <xdr:col>13</xdr:col>
      <xdr:colOff>295275</xdr:colOff>
      <xdr:row>3</xdr:row>
      <xdr:rowOff>142875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85725" y="66675"/>
          <a:ext cx="8143875" cy="7620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Neodosis 04' </a:t>
          </a:r>
          <a:r>
            <a:rPr lang="en-US" cap="none" sz="2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Calculador de dosis y procedimientos neonatales</a:t>
          </a:r>
        </a:p>
      </xdr:txBody>
    </xdr:sp>
    <xdr:clientData/>
  </xdr:twoCellAnchor>
  <xdr:twoCellAnchor editAs="absolute">
    <xdr:from>
      <xdr:col>10</xdr:col>
      <xdr:colOff>200025</xdr:colOff>
      <xdr:row>0</xdr:row>
      <xdr:rowOff>47625</xdr:rowOff>
    </xdr:from>
    <xdr:to>
      <xdr:col>12</xdr:col>
      <xdr:colOff>600075</xdr:colOff>
      <xdr:row>6</xdr:row>
      <xdr:rowOff>9525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228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31</xdr:row>
      <xdr:rowOff>180975</xdr:rowOff>
    </xdr:from>
    <xdr:ext cx="3781425" cy="3467100"/>
    <xdr:sp>
      <xdr:nvSpPr>
        <xdr:cNvPr id="6" name="Text Box 3"/>
        <xdr:cNvSpPr txBox="1">
          <a:spLocks noChangeArrowheads="1"/>
        </xdr:cNvSpPr>
      </xdr:nvSpPr>
      <xdr:spPr>
        <a:xfrm>
          <a:off x="228600" y="5381625"/>
          <a:ext cx="3781425" cy="346710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Advertencias</a:t>
          </a: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•Esta calculadora es una guia orientativa para evitar errores en la prescripción y dosificación. En ningún caso debería obviarse el cálculo individualizado para cada paciente. 
</a:t>
          </a:r>
          <a:r>
            <a:rPr lang="en-US" cap="none" sz="11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•Las dosis recomendadas pueden variar en el tiempo y pueden ser otras en pacientes específicos.
</a:t>
          </a:r>
          <a:r>
            <a:rPr lang="en-US" cap="none" sz="11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•Las formas de presentación que aparecen son las más frecuentes en nuestro medio, sin embargo se debería ser muy cuidadoso al comprobar que la concentración del preparado a usar coincide con la que aparece en la hoja. La vía de administración es la endovenosa si no se especifica lo contrario.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95250</xdr:colOff>
      <xdr:row>67</xdr:row>
      <xdr:rowOff>114300</xdr:rowOff>
    </xdr:from>
    <xdr:ext cx="7581900" cy="1143000"/>
    <xdr:sp>
      <xdr:nvSpPr>
        <xdr:cNvPr id="7" name="Text Box 5"/>
        <xdr:cNvSpPr txBox="1">
          <a:spLocks noChangeArrowheads="1"/>
        </xdr:cNvSpPr>
      </xdr:nvSpPr>
      <xdr:spPr>
        <a:xfrm>
          <a:off x="323850" y="12087225"/>
          <a:ext cx="75819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Créditos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J Albert Balaguer Santamaría ©         UIPA -  Universitat Rovira i Virgili.       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Aunque se ha puesto el máximo cuidado en la elaboración y prueba de Neodosis, es posible que se hubiera deslizado algún error.  Se agradece la notificación de los  mismos mediante email a: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abalaguer@grupsagessa.com       ó       albert_balaguer@yahoo.com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En tal caso, se hará llegar una nueva versión corregida al notificante.
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El autor agradece cualquier comentario o sugerencia para mejorar la utilidad y exactitud de la aplicación. </a:t>
          </a:r>
        </a:p>
      </xdr:txBody>
    </xdr:sp>
    <xdr:clientData/>
  </xdr:oneCellAnchor>
  <xdr:oneCellAnchor>
    <xdr:from>
      <xdr:col>6</xdr:col>
      <xdr:colOff>0</xdr:colOff>
      <xdr:row>47</xdr:row>
      <xdr:rowOff>104775</xdr:rowOff>
    </xdr:from>
    <xdr:ext cx="3295650" cy="1333500"/>
    <xdr:sp>
      <xdr:nvSpPr>
        <xdr:cNvPr id="8" name="Text Box 7"/>
        <xdr:cNvSpPr txBox="1">
          <a:spLocks noChangeArrowheads="1"/>
        </xdr:cNvSpPr>
      </xdr:nvSpPr>
      <xdr:spPr>
        <a:xfrm>
          <a:off x="3733800" y="9029700"/>
          <a:ext cx="32956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ev:  Vía endovenosa   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IM:  Vía intramuscular  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ET:  Vía endotraqueal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ml:   Mililitros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mcg:  Microgramos  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EPM: Edad postmenstrual 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     (semanas de vida contando desde la FUR materna)</a:t>
          </a:r>
        </a:p>
      </xdr:txBody>
    </xdr:sp>
    <xdr:clientData/>
  </xdr:oneCellAnchor>
  <xdr:oneCellAnchor>
    <xdr:from>
      <xdr:col>2</xdr:col>
      <xdr:colOff>142875</xdr:colOff>
      <xdr:row>48</xdr:row>
      <xdr:rowOff>47625</xdr:rowOff>
    </xdr:from>
    <xdr:ext cx="3009900" cy="1181100"/>
    <xdr:sp>
      <xdr:nvSpPr>
        <xdr:cNvPr id="9" name="Text Box 8"/>
        <xdr:cNvSpPr txBox="1">
          <a:spLocks noChangeArrowheads="1"/>
        </xdr:cNvSpPr>
      </xdr:nvSpPr>
      <xdr:spPr>
        <a:xfrm>
          <a:off x="371475" y="9124950"/>
          <a:ext cx="30099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Principiales abreviaturas utilizadas</a:t>
          </a:r>
          <a:r>
            <a:rPr lang="en-US" cap="none" sz="9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s/a.:  Según algunos autores y/o estudios  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Mtº.:   Mantenimiento   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RL:  Ringer Lactato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H2O:  Agua destilada para inyección  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SF:  Suero fisiológico
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SG:  Suero glucosado.</a:t>
          </a:r>
        </a:p>
      </xdr:txBody>
    </xdr:sp>
    <xdr:clientData/>
  </xdr:oneCellAnchor>
  <xdr:twoCellAnchor>
    <xdr:from>
      <xdr:col>4</xdr:col>
      <xdr:colOff>1590675</xdr:colOff>
      <xdr:row>5</xdr:row>
      <xdr:rowOff>85725</xdr:rowOff>
    </xdr:from>
    <xdr:to>
      <xdr:col>11</xdr:col>
      <xdr:colOff>971550</xdr:colOff>
      <xdr:row>8</xdr:row>
      <xdr:rowOff>9525</xdr:rowOff>
    </xdr:to>
    <xdr:grpSp>
      <xdr:nvGrpSpPr>
        <xdr:cNvPr id="10" name="Group 49"/>
        <xdr:cNvGrpSpPr>
          <a:grpSpLocks/>
        </xdr:cNvGrpSpPr>
      </xdr:nvGrpSpPr>
      <xdr:grpSpPr>
        <a:xfrm>
          <a:off x="2447925" y="1171575"/>
          <a:ext cx="3800475" cy="504825"/>
          <a:chOff x="194" y="123"/>
          <a:chExt cx="333" cy="53"/>
        </a:xfrm>
        <a:solidFill>
          <a:srgbClr val="FFFFFF"/>
        </a:solidFill>
      </xdr:grpSpPr>
      <xdr:sp>
        <xdr:nvSpPr>
          <xdr:cNvPr id="11" name="AutoShape 10"/>
          <xdr:cNvSpPr>
            <a:spLocks/>
          </xdr:cNvSpPr>
        </xdr:nvSpPr>
        <xdr:spPr>
          <a:xfrm>
            <a:off x="321" y="150"/>
            <a:ext cx="34" cy="26"/>
          </a:xfrm>
          <a:prstGeom prst="downArrow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" name="Text Box 9"/>
          <xdr:cNvSpPr txBox="1">
            <a:spLocks noChangeArrowheads="1"/>
          </xdr:cNvSpPr>
        </xdr:nvSpPr>
        <xdr:spPr>
          <a:xfrm>
            <a:off x="194" y="123"/>
            <a:ext cx="333" cy="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</a:rPr>
              <a:t>  Llenar los recuadros en gris</a:t>
            </a:r>
          </a:p>
        </xdr:txBody>
      </xdr:sp>
      <xdr:sp>
        <xdr:nvSpPr>
          <xdr:cNvPr id="13" name="Rectangle 18"/>
          <xdr:cNvSpPr>
            <a:spLocks/>
          </xdr:cNvSpPr>
        </xdr:nvSpPr>
        <xdr:spPr>
          <a:xfrm>
            <a:off x="330" y="150"/>
            <a:ext cx="17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oneCellAnchor>
    <xdr:from>
      <xdr:col>7</xdr:col>
      <xdr:colOff>304800</xdr:colOff>
      <xdr:row>31</xdr:row>
      <xdr:rowOff>180975</xdr:rowOff>
    </xdr:from>
    <xdr:ext cx="4914900" cy="3467100"/>
    <xdr:sp>
      <xdr:nvSpPr>
        <xdr:cNvPr id="14" name="Text Box 24"/>
        <xdr:cNvSpPr txBox="1">
          <a:spLocks noChangeArrowheads="1"/>
        </xdr:cNvSpPr>
      </xdr:nvSpPr>
      <xdr:spPr>
        <a:xfrm>
          <a:off x="4210050" y="5381625"/>
          <a:ext cx="4914900" cy="346710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Cambios y novedades respecto Neodosis01</a:t>
          </a: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• Se ha añadido una hoja ("4-Antibiots") que agrupa los antimicrobianos para separarlos del resto de medicación. Los intérvalos y dosificaciones se han adaptado a la bibliografía más reciente, especialmente Neofax 2004.  La hoja "3-Otros" incluye la medicación que se adminitra en bolus y que no pertenece estrictamente a reanimación.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•Además del peso pueden introducirse los datos de fecha de nacimiento y semanas de gestación. Estos son imprescindibles para dosificar algunos tratamientos que se calculan según el peso, los días de vida y/o la Edad Postmenstrual. 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•Se ofrece una referencia inicial acerca de la adecuación del peso a la edad gestacional según las curvas de Lubchenko. 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•Se han añadido algunos fármacos (pe. hidrocortisona -calculada según superficie corporal-, ganciclovir, milrinona, famotidina...) y se han actualizado dosis e intérvalos de administración según la última bibliografía disponible.</a:t>
          </a:r>
        </a:p>
      </xdr:txBody>
    </xdr:sp>
    <xdr:clientData/>
  </xdr:oneCellAnchor>
  <xdr:twoCellAnchor>
    <xdr:from>
      <xdr:col>2</xdr:col>
      <xdr:colOff>28575</xdr:colOff>
      <xdr:row>47</xdr:row>
      <xdr:rowOff>85725</xdr:rowOff>
    </xdr:from>
    <xdr:to>
      <xdr:col>17</xdr:col>
      <xdr:colOff>9525</xdr:colOff>
      <xdr:row>57</xdr:row>
      <xdr:rowOff>28575</xdr:rowOff>
    </xdr:to>
    <xdr:sp>
      <xdr:nvSpPr>
        <xdr:cNvPr id="15" name="Rectangle 6"/>
        <xdr:cNvSpPr>
          <a:spLocks/>
        </xdr:cNvSpPr>
      </xdr:nvSpPr>
      <xdr:spPr>
        <a:xfrm>
          <a:off x="257175" y="9010650"/>
          <a:ext cx="8886825" cy="1466850"/>
        </a:xfrm>
        <a:prstGeom prst="rect">
          <a:avLst/>
        </a:prstGeom>
        <a:noFill/>
        <a:ln w="25400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57150</xdr:rowOff>
    </xdr:from>
    <xdr:to>
      <xdr:col>29</xdr:col>
      <xdr:colOff>304800</xdr:colOff>
      <xdr:row>123</xdr:row>
      <xdr:rowOff>85725</xdr:rowOff>
    </xdr:to>
    <xdr:sp>
      <xdr:nvSpPr>
        <xdr:cNvPr id="16" name="Rectangle 31"/>
        <xdr:cNvSpPr>
          <a:spLocks/>
        </xdr:cNvSpPr>
      </xdr:nvSpPr>
      <xdr:spPr>
        <a:xfrm>
          <a:off x="0" y="14316075"/>
          <a:ext cx="25069800" cy="88201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114300</xdr:colOff>
      <xdr:row>0</xdr:row>
      <xdr:rowOff>0</xdr:rowOff>
    </xdr:from>
    <xdr:to>
      <xdr:col>30</xdr:col>
      <xdr:colOff>314325</xdr:colOff>
      <xdr:row>77</xdr:row>
      <xdr:rowOff>257175</xdr:rowOff>
    </xdr:to>
    <xdr:sp>
      <xdr:nvSpPr>
        <xdr:cNvPr id="17" name="Rectangle 28"/>
        <xdr:cNvSpPr>
          <a:spLocks/>
        </xdr:cNvSpPr>
      </xdr:nvSpPr>
      <xdr:spPr>
        <a:xfrm>
          <a:off x="9886950" y="0"/>
          <a:ext cx="16021050" cy="14516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1714500</xdr:colOff>
      <xdr:row>29</xdr:row>
      <xdr:rowOff>257175</xdr:rowOff>
    </xdr:from>
    <xdr:to>
      <xdr:col>11</xdr:col>
      <xdr:colOff>476250</xdr:colOff>
      <xdr:row>31</xdr:row>
      <xdr:rowOff>152400</xdr:rowOff>
    </xdr:to>
    <xdr:grpSp>
      <xdr:nvGrpSpPr>
        <xdr:cNvPr id="18" name="Group 50"/>
        <xdr:cNvGrpSpPr>
          <a:grpSpLocks/>
        </xdr:cNvGrpSpPr>
      </xdr:nvGrpSpPr>
      <xdr:grpSpPr>
        <a:xfrm>
          <a:off x="2571750" y="4867275"/>
          <a:ext cx="3181350" cy="485775"/>
          <a:chOff x="280" y="502"/>
          <a:chExt cx="287" cy="53"/>
        </a:xfrm>
        <a:solidFill>
          <a:srgbClr val="FFFFFF"/>
        </a:solidFill>
      </xdr:grpSpPr>
      <xdr:sp>
        <xdr:nvSpPr>
          <xdr:cNvPr id="19" name="AutoShape 45"/>
          <xdr:cNvSpPr>
            <a:spLocks/>
          </xdr:cNvSpPr>
        </xdr:nvSpPr>
        <xdr:spPr>
          <a:xfrm>
            <a:off x="405" y="530"/>
            <a:ext cx="32" cy="25"/>
          </a:xfrm>
          <a:prstGeom prst="downArrow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Text Box 46"/>
          <xdr:cNvSpPr txBox="1">
            <a:spLocks noChangeArrowheads="1"/>
          </xdr:cNvSpPr>
        </xdr:nvSpPr>
        <xdr:spPr>
          <a:xfrm>
            <a:off x="280" y="502"/>
            <a:ext cx="287" cy="2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  Notas y advertencias</a:t>
            </a:r>
          </a:p>
        </xdr:txBody>
      </xdr:sp>
      <xdr:sp>
        <xdr:nvSpPr>
          <xdr:cNvPr id="21" name="Rectangle 47"/>
          <xdr:cNvSpPr>
            <a:spLocks/>
          </xdr:cNvSpPr>
        </xdr:nvSpPr>
        <xdr:spPr>
          <a:xfrm>
            <a:off x="414" y="530"/>
            <a:ext cx="14" cy="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oneCellAnchor>
    <xdr:from>
      <xdr:col>2</xdr:col>
      <xdr:colOff>28575</xdr:colOff>
      <xdr:row>58</xdr:row>
      <xdr:rowOff>66675</xdr:rowOff>
    </xdr:from>
    <xdr:ext cx="8372475" cy="1219200"/>
    <xdr:sp>
      <xdr:nvSpPr>
        <xdr:cNvPr id="22" name="Text Box 51"/>
        <xdr:cNvSpPr txBox="1">
          <a:spLocks noChangeArrowheads="1"/>
        </xdr:cNvSpPr>
      </xdr:nvSpPr>
      <xdr:spPr>
        <a:xfrm>
          <a:off x="257175" y="10668000"/>
          <a:ext cx="83724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Principal Bibliografía utilizada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-International Guidelines for Neonatal Resuscitation: An Excerpt From the Guidelines 2000 for Cardiopulmonary Resuscitation and Emergency Cardiovascular Care: International Consensus  Pediatrics 2000; 106(3): p. e29. 
</a:t>
          </a:r>
          <a:r>
            <a:rPr lang="en-US" cap="none" sz="7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-Young T E, Mangum B (eds). Neofax 2004: a manual of drugs used in neonatal care, ed 16. Raleigh, NC: Acorn Publishing, USA, 2003.
</a:t>
          </a:r>
          <a:r>
            <a:rPr lang="en-US" cap="none" sz="7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-Rennie JM, NRC Roberton (eds) Textbook of Neonatology 3 ed. London: Churchill Livingstone 1999.
</a:t>
          </a:r>
          <a:r>
            <a:rPr lang="en-US" cap="none" sz="7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-Taketomo C K, Hodding J H, Kraus D M. Pediatric Dosage Handbook: Including Neonatal Dosing, Drug Administration &amp; Extemporaneous, ed 9  Hudson CL: Lexi-Comp’s, USA, 2003.</a:t>
          </a:r>
          <a:r>
            <a:rPr lang="en-US" cap="none" sz="7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-Cloherty JP, Stark AR (eds). Manual of neonatal care. 4 ed. Boston: Little, Brown &amp; Co 1997.
</a:t>
          </a:r>
          <a:r>
            <a:rPr lang="en-US" cap="none" sz="7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-Barroso C, Moraga F (eds). Guia de Antiinfecciosos en pediatría 2003 6 ed. Barcelona: Prous Science 2003</a:t>
          </a:r>
        </a:p>
      </xdr:txBody>
    </xdr:sp>
    <xdr:clientData/>
  </xdr:oneCellAnchor>
  <xdr:twoCellAnchor>
    <xdr:from>
      <xdr:col>4</xdr:col>
      <xdr:colOff>1571625</xdr:colOff>
      <xdr:row>0</xdr:row>
      <xdr:rowOff>0</xdr:rowOff>
    </xdr:from>
    <xdr:to>
      <xdr:col>5</xdr:col>
      <xdr:colOff>161925</xdr:colOff>
      <xdr:row>2</xdr:row>
      <xdr:rowOff>142875</xdr:rowOff>
    </xdr:to>
    <xdr:sp>
      <xdr:nvSpPr>
        <xdr:cNvPr id="23" name="AutoShape 52"/>
        <xdr:cNvSpPr>
          <a:spLocks/>
        </xdr:cNvSpPr>
      </xdr:nvSpPr>
      <xdr:spPr>
        <a:xfrm>
          <a:off x="2428875" y="0"/>
          <a:ext cx="1095375" cy="609600"/>
        </a:xfrm>
        <a:prstGeom prst="star16">
          <a:avLst/>
        </a:prstGeom>
        <a:solidFill>
          <a:srgbClr val="FFCC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Geneva"/>
              <a:ea typeface="Geneva"/>
              <a:cs typeface="Geneva"/>
            </a:rPr>
            <a:t>Neodosis 04'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44</xdr:row>
      <xdr:rowOff>28575</xdr:rowOff>
    </xdr:from>
    <xdr:to>
      <xdr:col>1</xdr:col>
      <xdr:colOff>1276350</xdr:colOff>
      <xdr:row>46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523875" y="6410325"/>
          <a:ext cx="8286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19</xdr:col>
      <xdr:colOff>28575</xdr:colOff>
      <xdr:row>46</xdr:row>
      <xdr:rowOff>0</xdr:rowOff>
    </xdr:to>
    <xdr:sp>
      <xdr:nvSpPr>
        <xdr:cNvPr id="2" name="Line 14"/>
        <xdr:cNvSpPr>
          <a:spLocks/>
        </xdr:cNvSpPr>
      </xdr:nvSpPr>
      <xdr:spPr>
        <a:xfrm>
          <a:off x="9525" y="6581775"/>
          <a:ext cx="10620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552450</xdr:colOff>
      <xdr:row>44</xdr:row>
      <xdr:rowOff>85725</xdr:rowOff>
    </xdr:from>
    <xdr:ext cx="590550" cy="152400"/>
    <xdr:sp>
      <xdr:nvSpPr>
        <xdr:cNvPr id="3" name="Text Box 16"/>
        <xdr:cNvSpPr txBox="1">
          <a:spLocks noChangeArrowheads="1"/>
        </xdr:cNvSpPr>
      </xdr:nvSpPr>
      <xdr:spPr>
        <a:xfrm>
          <a:off x="628650" y="646747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1-Reanim</a:t>
          </a:r>
        </a:p>
      </xdr:txBody>
    </xdr:sp>
    <xdr:clientData/>
  </xdr:oneCellAnchor>
  <xdr:twoCellAnchor>
    <xdr:from>
      <xdr:col>19</xdr:col>
      <xdr:colOff>66675</xdr:colOff>
      <xdr:row>0</xdr:row>
      <xdr:rowOff>0</xdr:rowOff>
    </xdr:from>
    <xdr:to>
      <xdr:col>20</xdr:col>
      <xdr:colOff>504825</xdr:colOff>
      <xdr:row>60</xdr:row>
      <xdr:rowOff>85725</xdr:rowOff>
    </xdr:to>
    <xdr:sp>
      <xdr:nvSpPr>
        <xdr:cNvPr id="4" name="Rectangle 25"/>
        <xdr:cNvSpPr>
          <a:spLocks/>
        </xdr:cNvSpPr>
      </xdr:nvSpPr>
      <xdr:spPr>
        <a:xfrm>
          <a:off x="10668000" y="0"/>
          <a:ext cx="8982075" cy="136874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95250</xdr:rowOff>
    </xdr:from>
    <xdr:to>
      <xdr:col>19</xdr:col>
      <xdr:colOff>104775</xdr:colOff>
      <xdr:row>60</xdr:row>
      <xdr:rowOff>95250</xdr:rowOff>
    </xdr:to>
    <xdr:sp>
      <xdr:nvSpPr>
        <xdr:cNvPr id="5" name="Rectangle 26"/>
        <xdr:cNvSpPr>
          <a:spLocks/>
        </xdr:cNvSpPr>
      </xdr:nvSpPr>
      <xdr:spPr>
        <a:xfrm>
          <a:off x="0" y="6677025"/>
          <a:ext cx="10706100" cy="70199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52</xdr:row>
      <xdr:rowOff>9525</xdr:rowOff>
    </xdr:from>
    <xdr:to>
      <xdr:col>4</xdr:col>
      <xdr:colOff>171450</xdr:colOff>
      <xdr:row>53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2238375" y="6867525"/>
          <a:ext cx="9334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17</xdr:col>
      <xdr:colOff>9525</xdr:colOff>
      <xdr:row>53</xdr:row>
      <xdr:rowOff>38100</xdr:rowOff>
    </xdr:to>
    <xdr:sp>
      <xdr:nvSpPr>
        <xdr:cNvPr id="2" name="Line 4"/>
        <xdr:cNvSpPr>
          <a:spLocks/>
        </xdr:cNvSpPr>
      </xdr:nvSpPr>
      <xdr:spPr>
        <a:xfrm>
          <a:off x="0" y="7010400"/>
          <a:ext cx="1048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</xdr:col>
      <xdr:colOff>2228850</xdr:colOff>
      <xdr:row>51</xdr:row>
      <xdr:rowOff>114300</xdr:rowOff>
    </xdr:from>
    <xdr:ext cx="990600" cy="200025"/>
    <xdr:sp>
      <xdr:nvSpPr>
        <xdr:cNvPr id="3" name="Text Box 5"/>
        <xdr:cNvSpPr txBox="1">
          <a:spLocks noChangeArrowheads="1"/>
        </xdr:cNvSpPr>
      </xdr:nvSpPr>
      <xdr:spPr>
        <a:xfrm>
          <a:off x="2295525" y="6838950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2-Inf Continua
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Continua</a:t>
          </a:r>
        </a:p>
      </xdr:txBody>
    </xdr:sp>
    <xdr:clientData/>
  </xdr:oneCellAnchor>
  <xdr:twoCellAnchor>
    <xdr:from>
      <xdr:col>17</xdr:col>
      <xdr:colOff>57150</xdr:colOff>
      <xdr:row>0</xdr:row>
      <xdr:rowOff>0</xdr:rowOff>
    </xdr:from>
    <xdr:to>
      <xdr:col>48</xdr:col>
      <xdr:colOff>95250</xdr:colOff>
      <xdr:row>125</xdr:row>
      <xdr:rowOff>114300</xdr:rowOff>
    </xdr:to>
    <xdr:sp>
      <xdr:nvSpPr>
        <xdr:cNvPr id="4" name="Rectangle 7"/>
        <xdr:cNvSpPr>
          <a:spLocks/>
        </xdr:cNvSpPr>
      </xdr:nvSpPr>
      <xdr:spPr>
        <a:xfrm>
          <a:off x="10534650" y="0"/>
          <a:ext cx="22412325" cy="19926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47625</xdr:rowOff>
    </xdr:from>
    <xdr:to>
      <xdr:col>17</xdr:col>
      <xdr:colOff>57150</xdr:colOff>
      <xdr:row>125</xdr:row>
      <xdr:rowOff>114300</xdr:rowOff>
    </xdr:to>
    <xdr:sp>
      <xdr:nvSpPr>
        <xdr:cNvPr id="5" name="Rectangle 8"/>
        <xdr:cNvSpPr>
          <a:spLocks/>
        </xdr:cNvSpPr>
      </xdr:nvSpPr>
      <xdr:spPr>
        <a:xfrm>
          <a:off x="0" y="7086600"/>
          <a:ext cx="10534650" cy="12839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71</xdr:row>
      <xdr:rowOff>38100</xdr:rowOff>
    </xdr:from>
    <xdr:to>
      <xdr:col>3</xdr:col>
      <xdr:colOff>57150</xdr:colOff>
      <xdr:row>74</xdr:row>
      <xdr:rowOff>114300</xdr:rowOff>
    </xdr:to>
    <xdr:sp>
      <xdr:nvSpPr>
        <xdr:cNvPr id="1" name="Oval 13"/>
        <xdr:cNvSpPr>
          <a:spLocks/>
        </xdr:cNvSpPr>
      </xdr:nvSpPr>
      <xdr:spPr>
        <a:xfrm>
          <a:off x="647700" y="10610850"/>
          <a:ext cx="581025" cy="504825"/>
        </a:xfrm>
        <a:prstGeom prst="ellipse">
          <a:avLst/>
        </a:prstGeom>
        <a:noFill/>
        <a:ln w="6350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314325</xdr:colOff>
      <xdr:row>74</xdr:row>
      <xdr:rowOff>0</xdr:rowOff>
    </xdr:from>
    <xdr:to>
      <xdr:col>6</xdr:col>
      <xdr:colOff>314325</xdr:colOff>
      <xdr:row>75</xdr:row>
      <xdr:rowOff>28575</xdr:rowOff>
    </xdr:to>
    <xdr:sp>
      <xdr:nvSpPr>
        <xdr:cNvPr id="2" name="Line 5"/>
        <xdr:cNvSpPr>
          <a:spLocks/>
        </xdr:cNvSpPr>
      </xdr:nvSpPr>
      <xdr:spPr>
        <a:xfrm flipH="1">
          <a:off x="2571750" y="11001375"/>
          <a:ext cx="0" cy="200025"/>
        </a:xfrm>
        <a:prstGeom prst="line">
          <a:avLst/>
        </a:prstGeom>
        <a:noFill/>
        <a:ln w="9525" cmpd="sng">
          <a:solidFill>
            <a:srgbClr val="8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161925</xdr:colOff>
      <xdr:row>83</xdr:row>
      <xdr:rowOff>9525</xdr:rowOff>
    </xdr:from>
    <xdr:to>
      <xdr:col>10</xdr:col>
      <xdr:colOff>180975</xdr:colOff>
      <xdr:row>83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3009900" y="12039600"/>
          <a:ext cx="76200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152400</xdr:rowOff>
    </xdr:from>
    <xdr:to>
      <xdr:col>22</xdr:col>
      <xdr:colOff>38100</xdr:colOff>
      <xdr:row>83</xdr:row>
      <xdr:rowOff>152400</xdr:rowOff>
    </xdr:to>
    <xdr:sp>
      <xdr:nvSpPr>
        <xdr:cNvPr id="4" name="Line 7"/>
        <xdr:cNvSpPr>
          <a:spLocks/>
        </xdr:cNvSpPr>
      </xdr:nvSpPr>
      <xdr:spPr>
        <a:xfrm>
          <a:off x="0" y="12182475"/>
          <a:ext cx="9410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</xdr:col>
      <xdr:colOff>304800</xdr:colOff>
      <xdr:row>83</xdr:row>
      <xdr:rowOff>0</xdr:rowOff>
    </xdr:from>
    <xdr:ext cx="457200" cy="161925"/>
    <xdr:sp>
      <xdr:nvSpPr>
        <xdr:cNvPr id="5" name="Text Box 8"/>
        <xdr:cNvSpPr txBox="1">
          <a:spLocks noChangeArrowheads="1"/>
        </xdr:cNvSpPr>
      </xdr:nvSpPr>
      <xdr:spPr>
        <a:xfrm>
          <a:off x="3152775" y="1203007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3-Otros</a:t>
          </a:r>
        </a:p>
      </xdr:txBody>
    </xdr:sp>
    <xdr:clientData/>
  </xdr:oneCellAnchor>
  <xdr:twoCellAnchor>
    <xdr:from>
      <xdr:col>6</xdr:col>
      <xdr:colOff>85725</xdr:colOff>
      <xdr:row>74</xdr:row>
      <xdr:rowOff>104775</xdr:rowOff>
    </xdr:from>
    <xdr:to>
      <xdr:col>8</xdr:col>
      <xdr:colOff>247650</xdr:colOff>
      <xdr:row>76</xdr:row>
      <xdr:rowOff>104775</xdr:rowOff>
    </xdr:to>
    <xdr:sp>
      <xdr:nvSpPr>
        <xdr:cNvPr id="6" name="Oval 14"/>
        <xdr:cNvSpPr>
          <a:spLocks/>
        </xdr:cNvSpPr>
      </xdr:nvSpPr>
      <xdr:spPr>
        <a:xfrm>
          <a:off x="2343150" y="11106150"/>
          <a:ext cx="752475" cy="342900"/>
        </a:xfrm>
        <a:prstGeom prst="ellipse">
          <a:avLst/>
        </a:prstGeom>
        <a:noFill/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2</xdr:col>
      <xdr:colOff>95250</xdr:colOff>
      <xdr:row>81</xdr:row>
      <xdr:rowOff>104775</xdr:rowOff>
    </xdr:from>
    <xdr:ext cx="95250" cy="200025"/>
    <xdr:sp fLocksText="0">
      <xdr:nvSpPr>
        <xdr:cNvPr id="7" name="Text Box 18"/>
        <xdr:cNvSpPr txBox="1">
          <a:spLocks noChangeArrowheads="1"/>
        </xdr:cNvSpPr>
      </xdr:nvSpPr>
      <xdr:spPr>
        <a:xfrm>
          <a:off x="333375" y="11868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1</xdr:col>
      <xdr:colOff>123825</xdr:colOff>
      <xdr:row>68</xdr:row>
      <xdr:rowOff>28575</xdr:rowOff>
    </xdr:from>
    <xdr:to>
      <xdr:col>14</xdr:col>
      <xdr:colOff>228600</xdr:colOff>
      <xdr:row>72</xdr:row>
      <xdr:rowOff>0</xdr:rowOff>
    </xdr:to>
    <xdr:grpSp>
      <xdr:nvGrpSpPr>
        <xdr:cNvPr id="8" name="Group 20"/>
        <xdr:cNvGrpSpPr>
          <a:grpSpLocks/>
        </xdr:cNvGrpSpPr>
      </xdr:nvGrpSpPr>
      <xdr:grpSpPr>
        <a:xfrm>
          <a:off x="209550" y="10239375"/>
          <a:ext cx="5276850" cy="419100"/>
          <a:chOff x="16" y="794"/>
          <a:chExt cx="409" cy="33"/>
        </a:xfrm>
        <a:solidFill>
          <a:srgbClr val="FFFFFF"/>
        </a:solidFill>
      </xdr:grpSpPr>
      <xdr:grpSp>
        <xdr:nvGrpSpPr>
          <xdr:cNvPr id="9" name="Group 17"/>
          <xdr:cNvGrpSpPr>
            <a:grpSpLocks/>
          </xdr:cNvGrpSpPr>
        </xdr:nvGrpSpPr>
        <xdr:grpSpPr>
          <a:xfrm>
            <a:off x="59" y="804"/>
            <a:ext cx="29" cy="23"/>
            <a:chOff x="74" y="836"/>
            <a:chExt cx="33" cy="28"/>
          </a:xfrm>
          <a:solidFill>
            <a:srgbClr val="FFFFFF"/>
          </a:solidFill>
        </xdr:grpSpPr>
        <xdr:sp>
          <xdr:nvSpPr>
            <xdr:cNvPr id="10" name="AutoShape 15"/>
            <xdr:cNvSpPr>
              <a:spLocks/>
            </xdr:cNvSpPr>
          </xdr:nvSpPr>
          <xdr:spPr>
            <a:xfrm>
              <a:off x="74" y="837"/>
              <a:ext cx="33" cy="27"/>
            </a:xfrm>
            <a:prstGeom prst="downArrow">
              <a:avLst/>
            </a:prstGeom>
            <a:solidFill>
              <a:srgbClr val="CCFFCC"/>
            </a:solidFill>
            <a:ln w="3175" cmpd="sng">
              <a:solidFill>
                <a:srgbClr val="0066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  <xdr:sp>
          <xdr:nvSpPr>
            <xdr:cNvPr id="11" name="Rectangle 16"/>
            <xdr:cNvSpPr>
              <a:spLocks/>
            </xdr:cNvSpPr>
          </xdr:nvSpPr>
          <xdr:spPr>
            <a:xfrm>
              <a:off x="83" y="836"/>
              <a:ext cx="15" cy="8"/>
            </a:xfrm>
            <a:prstGeom prst="rect">
              <a:avLst/>
            </a:prstGeom>
            <a:solidFill>
              <a:srgbClr val="CCFF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Geneva"/>
                  <a:ea typeface="Geneva"/>
                  <a:cs typeface="Geneva"/>
                </a:rPr>
                <a:t/>
              </a:r>
            </a:p>
          </xdr:txBody>
        </xdr:sp>
      </xdr:grpSp>
      <xdr:sp>
        <xdr:nvSpPr>
          <xdr:cNvPr id="12" name="Text Box 19"/>
          <xdr:cNvSpPr txBox="1">
            <a:spLocks noChangeArrowheads="1"/>
          </xdr:cNvSpPr>
        </xdr:nvSpPr>
        <xdr:spPr>
          <a:xfrm>
            <a:off x="16" y="794"/>
            <a:ext cx="409" cy="13"/>
          </a:xfrm>
          <a:prstGeom prst="rect">
            <a:avLst/>
          </a:prstGeom>
          <a:solidFill>
            <a:srgbClr val="CCFFCC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  <a:latin typeface="Geneva"/>
                <a:ea typeface="Geneva"/>
                <a:cs typeface="Geneva"/>
              </a:rPr>
              <a:t> DDT en función de Edad Postmenstrual (EPM) calculada según datos de la hoja "Paciente": </a:t>
            </a:r>
          </a:p>
        </xdr:txBody>
      </xdr:sp>
    </xdr:grpSp>
    <xdr:clientData/>
  </xdr:twoCellAnchor>
  <xdr:twoCellAnchor>
    <xdr:from>
      <xdr:col>0</xdr:col>
      <xdr:colOff>0</xdr:colOff>
      <xdr:row>84</xdr:row>
      <xdr:rowOff>57150</xdr:rowOff>
    </xdr:from>
    <xdr:to>
      <xdr:col>39</xdr:col>
      <xdr:colOff>609600</xdr:colOff>
      <xdr:row>132</xdr:row>
      <xdr:rowOff>114300</xdr:rowOff>
    </xdr:to>
    <xdr:sp>
      <xdr:nvSpPr>
        <xdr:cNvPr id="13" name="Rectangle 21"/>
        <xdr:cNvSpPr>
          <a:spLocks/>
        </xdr:cNvSpPr>
      </xdr:nvSpPr>
      <xdr:spPr>
        <a:xfrm>
          <a:off x="0" y="12249150"/>
          <a:ext cx="31661100" cy="124110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23</xdr:col>
      <xdr:colOff>47625</xdr:colOff>
      <xdr:row>0</xdr:row>
      <xdr:rowOff>0</xdr:rowOff>
    </xdr:from>
    <xdr:to>
      <xdr:col>39</xdr:col>
      <xdr:colOff>619125</xdr:colOff>
      <xdr:row>84</xdr:row>
      <xdr:rowOff>104775</xdr:rowOff>
    </xdr:to>
    <xdr:sp>
      <xdr:nvSpPr>
        <xdr:cNvPr id="14" name="Rectangle 22"/>
        <xdr:cNvSpPr>
          <a:spLocks/>
        </xdr:cNvSpPr>
      </xdr:nvSpPr>
      <xdr:spPr>
        <a:xfrm>
          <a:off x="9477375" y="0"/>
          <a:ext cx="22193250" cy="122967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95250</xdr:colOff>
      <xdr:row>0</xdr:row>
      <xdr:rowOff>0</xdr:rowOff>
    </xdr:from>
    <xdr:to>
      <xdr:col>41</xdr:col>
      <xdr:colOff>857250</xdr:colOff>
      <xdr:row>62</xdr:row>
      <xdr:rowOff>95250</xdr:rowOff>
    </xdr:to>
    <xdr:sp>
      <xdr:nvSpPr>
        <xdr:cNvPr id="1" name="Rectangle 19"/>
        <xdr:cNvSpPr>
          <a:spLocks/>
        </xdr:cNvSpPr>
      </xdr:nvSpPr>
      <xdr:spPr>
        <a:xfrm>
          <a:off x="10363200" y="0"/>
          <a:ext cx="22164675" cy="131445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361950</xdr:colOff>
      <xdr:row>60</xdr:row>
      <xdr:rowOff>142875</xdr:rowOff>
    </xdr:from>
    <xdr:to>
      <xdr:col>12</xdr:col>
      <xdr:colOff>333375</xdr:colOff>
      <xdr:row>61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4352925" y="12887325"/>
          <a:ext cx="1038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142875</xdr:rowOff>
    </xdr:from>
    <xdr:to>
      <xdr:col>21</xdr:col>
      <xdr:colOff>57150</xdr:colOff>
      <xdr:row>61</xdr:row>
      <xdr:rowOff>142875</xdr:rowOff>
    </xdr:to>
    <xdr:sp>
      <xdr:nvSpPr>
        <xdr:cNvPr id="3" name="Line 8"/>
        <xdr:cNvSpPr>
          <a:spLocks/>
        </xdr:cNvSpPr>
      </xdr:nvSpPr>
      <xdr:spPr>
        <a:xfrm>
          <a:off x="0" y="13039725"/>
          <a:ext cx="10144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10</xdr:col>
      <xdr:colOff>0</xdr:colOff>
      <xdr:row>61</xdr:row>
      <xdr:rowOff>0</xdr:rowOff>
    </xdr:from>
    <xdr:ext cx="657225" cy="171450"/>
    <xdr:sp>
      <xdr:nvSpPr>
        <xdr:cNvPr id="4" name="Text Box 10"/>
        <xdr:cNvSpPr txBox="1">
          <a:spLocks noChangeArrowheads="1"/>
        </xdr:cNvSpPr>
      </xdr:nvSpPr>
      <xdr:spPr>
        <a:xfrm>
          <a:off x="4457700" y="128968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4-Antibiots</a:t>
          </a:r>
        </a:p>
      </xdr:txBody>
    </xdr:sp>
    <xdr:clientData/>
  </xdr:oneCellAnchor>
  <xdr:twoCellAnchor>
    <xdr:from>
      <xdr:col>0</xdr:col>
      <xdr:colOff>0</xdr:colOff>
      <xdr:row>62</xdr:row>
      <xdr:rowOff>95250</xdr:rowOff>
    </xdr:from>
    <xdr:to>
      <xdr:col>42</xdr:col>
      <xdr:colOff>0</xdr:colOff>
      <xdr:row>119</xdr:row>
      <xdr:rowOff>38100</xdr:rowOff>
    </xdr:to>
    <xdr:sp>
      <xdr:nvSpPr>
        <xdr:cNvPr id="5" name="Rectangle 20"/>
        <xdr:cNvSpPr>
          <a:spLocks/>
        </xdr:cNvSpPr>
      </xdr:nvSpPr>
      <xdr:spPr>
        <a:xfrm>
          <a:off x="0" y="13144500"/>
          <a:ext cx="32537400" cy="125253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4</xdr:row>
      <xdr:rowOff>0</xdr:rowOff>
    </xdr:from>
    <xdr:to>
      <xdr:col>21</xdr:col>
      <xdr:colOff>104775</xdr:colOff>
      <xdr:row>8</xdr:row>
      <xdr:rowOff>0</xdr:rowOff>
    </xdr:to>
    <xdr:sp>
      <xdr:nvSpPr>
        <xdr:cNvPr id="6" name="Rectangle 21"/>
        <xdr:cNvSpPr>
          <a:spLocks/>
        </xdr:cNvSpPr>
      </xdr:nvSpPr>
      <xdr:spPr>
        <a:xfrm>
          <a:off x="142875" y="666750"/>
          <a:ext cx="10048875" cy="647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28575</xdr:colOff>
      <xdr:row>4</xdr:row>
      <xdr:rowOff>57150</xdr:rowOff>
    </xdr:from>
    <xdr:to>
      <xdr:col>22</xdr:col>
      <xdr:colOff>0</xdr:colOff>
      <xdr:row>59</xdr:row>
      <xdr:rowOff>2114550</xdr:rowOff>
    </xdr:to>
    <xdr:sp>
      <xdr:nvSpPr>
        <xdr:cNvPr id="7" name="Rectangle 22"/>
        <xdr:cNvSpPr>
          <a:spLocks/>
        </xdr:cNvSpPr>
      </xdr:nvSpPr>
      <xdr:spPr>
        <a:xfrm>
          <a:off x="10115550" y="723900"/>
          <a:ext cx="152400" cy="117919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9525</xdr:rowOff>
    </xdr:from>
    <xdr:to>
      <xdr:col>1</xdr:col>
      <xdr:colOff>0</xdr:colOff>
      <xdr:row>62</xdr:row>
      <xdr:rowOff>304800</xdr:rowOff>
    </xdr:to>
    <xdr:sp>
      <xdr:nvSpPr>
        <xdr:cNvPr id="8" name="Rectangle 23"/>
        <xdr:cNvSpPr>
          <a:spLocks/>
        </xdr:cNvSpPr>
      </xdr:nvSpPr>
      <xdr:spPr>
        <a:xfrm>
          <a:off x="28575" y="1724025"/>
          <a:ext cx="133350" cy="116300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990600</xdr:colOff>
      <xdr:row>0</xdr:row>
      <xdr:rowOff>0</xdr:rowOff>
    </xdr:from>
    <xdr:to>
      <xdr:col>4</xdr:col>
      <xdr:colOff>714375</xdr:colOff>
      <xdr:row>3</xdr:row>
      <xdr:rowOff>85725</xdr:rowOff>
    </xdr:to>
    <xdr:sp>
      <xdr:nvSpPr>
        <xdr:cNvPr id="9" name="AutoShape 24"/>
        <xdr:cNvSpPr>
          <a:spLocks/>
        </xdr:cNvSpPr>
      </xdr:nvSpPr>
      <xdr:spPr>
        <a:xfrm>
          <a:off x="1304925" y="0"/>
          <a:ext cx="1095375" cy="600075"/>
        </a:xfrm>
        <a:prstGeom prst="star16">
          <a:avLst/>
        </a:prstGeom>
        <a:solidFill>
          <a:srgbClr val="FFCC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Geneva"/>
              <a:ea typeface="Geneva"/>
              <a:cs typeface="Geneva"/>
            </a:rPr>
            <a:t>Neodosis 04'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showRowColHeaders="0" zoomScale="75" zoomScaleNormal="75" zoomScalePageLayoutView="0" workbookViewId="0" topLeftCell="A28">
      <selection activeCell="F18" sqref="F18"/>
    </sheetView>
  </sheetViews>
  <sheetFormatPr defaultColWidth="10.875" defaultRowHeight="12"/>
  <cols>
    <col min="1" max="1" width="1.75390625" style="147" customWidth="1"/>
    <col min="2" max="2" width="1.25" style="147" customWidth="1"/>
    <col min="3" max="3" width="4.375" style="147" customWidth="1"/>
    <col min="4" max="4" width="3.875" style="147" customWidth="1"/>
    <col min="5" max="5" width="32.875" style="147" customWidth="1"/>
    <col min="6" max="6" width="4.875" style="768" customWidth="1"/>
    <col min="7" max="7" width="2.25390625" style="147" customWidth="1"/>
    <col min="8" max="8" width="4.125" style="147" customWidth="1"/>
    <col min="9" max="9" width="1.00390625" style="147" customWidth="1"/>
    <col min="10" max="10" width="5.00390625" style="147" customWidth="1"/>
    <col min="11" max="11" width="7.875" style="147" customWidth="1"/>
    <col min="12" max="12" width="16.875" style="147" customWidth="1"/>
    <col min="13" max="13" width="18.00390625" style="147" customWidth="1"/>
    <col min="14" max="14" width="7.00390625" style="147" customWidth="1"/>
    <col min="15" max="15" width="7.25390625" style="185" customWidth="1"/>
    <col min="16" max="17" width="0.74609375" style="185" customWidth="1"/>
    <col min="18" max="18" width="8.375" style="185" customWidth="1"/>
    <col min="19" max="19" width="88.00390625" style="147" customWidth="1"/>
    <col min="20" max="16384" width="10.875" style="147" customWidth="1"/>
  </cols>
  <sheetData>
    <row r="1" spans="1:18" ht="9.75" customHeight="1">
      <c r="A1" s="647"/>
      <c r="B1" s="647"/>
      <c r="C1" s="647"/>
      <c r="D1" s="647"/>
      <c r="E1" s="648"/>
      <c r="F1" s="648"/>
      <c r="G1" s="648"/>
      <c r="H1" s="648"/>
      <c r="I1" s="648"/>
      <c r="J1" s="648"/>
      <c r="K1" s="649"/>
      <c r="L1" s="649"/>
      <c r="M1" s="648"/>
      <c r="N1" s="648"/>
      <c r="O1" s="649"/>
      <c r="P1" s="649"/>
      <c r="Q1" s="649"/>
      <c r="R1" s="649"/>
    </row>
    <row r="2" spans="1:18" ht="27" customHeight="1">
      <c r="A2" s="647"/>
      <c r="B2" s="647"/>
      <c r="C2" s="648"/>
      <c r="D2" s="648"/>
      <c r="E2" s="648"/>
      <c r="F2" s="648"/>
      <c r="G2" s="648"/>
      <c r="H2" s="648"/>
      <c r="I2" s="648"/>
      <c r="J2" s="648"/>
      <c r="K2" s="649"/>
      <c r="L2" s="649"/>
      <c r="M2" s="649"/>
      <c r="N2" s="649"/>
      <c r="O2" s="649"/>
      <c r="P2" s="649"/>
      <c r="Q2" s="649"/>
      <c r="R2" s="649"/>
    </row>
    <row r="3" spans="1:18" ht="17.25" customHeight="1">
      <c r="A3" s="647"/>
      <c r="B3" s="647"/>
      <c r="C3" s="685"/>
      <c r="D3" s="647"/>
      <c r="E3" s="648"/>
      <c r="F3" s="648"/>
      <c r="G3" s="648"/>
      <c r="H3" s="648"/>
      <c r="I3" s="648"/>
      <c r="J3" s="648"/>
      <c r="K3" s="649"/>
      <c r="L3" s="649"/>
      <c r="M3" s="800"/>
      <c r="N3" s="801"/>
      <c r="O3" s="649"/>
      <c r="P3" s="649"/>
      <c r="Q3" s="649"/>
      <c r="R3" s="649"/>
    </row>
    <row r="4" spans="1:18" ht="16.5" customHeight="1">
      <c r="A4" s="647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</row>
    <row r="5" spans="1:18" ht="15" customHeight="1">
      <c r="A5" s="649"/>
      <c r="B5" s="970">
        <f ca="1">TODAY()</f>
        <v>41416</v>
      </c>
      <c r="C5" s="971"/>
      <c r="D5" s="972"/>
      <c r="E5" s="972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</row>
    <row r="6" spans="1:18" ht="36.75" customHeight="1">
      <c r="A6" s="649"/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</row>
    <row r="7" spans="1:18" ht="4.5" customHeight="1">
      <c r="A7" s="649"/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</row>
    <row r="8" spans="1:18" ht="4.5" customHeight="1">
      <c r="A8" s="649"/>
      <c r="B8" s="671"/>
      <c r="C8" s="673"/>
      <c r="D8" s="673"/>
      <c r="E8" s="673"/>
      <c r="F8" s="796"/>
      <c r="G8" s="672"/>
      <c r="H8" s="673"/>
      <c r="I8" s="673"/>
      <c r="J8" s="673"/>
      <c r="K8" s="672"/>
      <c r="L8" s="673"/>
      <c r="M8" s="673"/>
      <c r="N8" s="673"/>
      <c r="O8" s="674"/>
      <c r="P8" s="649"/>
      <c r="Q8" s="649"/>
      <c r="R8" s="649"/>
    </row>
    <row r="9" spans="1:18" ht="15.75">
      <c r="A9" s="649"/>
      <c r="B9" s="975" t="s">
        <v>223</v>
      </c>
      <c r="C9" s="976"/>
      <c r="D9" s="976"/>
      <c r="E9" s="977"/>
      <c r="F9" s="961" t="s">
        <v>421</v>
      </c>
      <c r="G9" s="962"/>
      <c r="H9" s="962"/>
      <c r="I9" s="962"/>
      <c r="J9" s="962"/>
      <c r="K9" s="962"/>
      <c r="L9" s="962"/>
      <c r="M9" s="963"/>
      <c r="N9" s="698"/>
      <c r="O9" s="675"/>
      <c r="P9" s="902"/>
      <c r="Q9" s="916"/>
      <c r="R9" s="649"/>
    </row>
    <row r="10" spans="1:18" ht="4.5" customHeight="1">
      <c r="A10" s="649"/>
      <c r="B10" s="895"/>
      <c r="C10" s="896"/>
      <c r="D10" s="896"/>
      <c r="E10" s="122"/>
      <c r="F10" s="137"/>
      <c r="G10" s="892"/>
      <c r="H10" s="892"/>
      <c r="I10" s="892"/>
      <c r="J10" s="892"/>
      <c r="K10" s="892"/>
      <c r="L10" s="892"/>
      <c r="M10" s="892"/>
      <c r="N10" s="892"/>
      <c r="O10" s="675"/>
      <c r="P10" s="902"/>
      <c r="Q10" s="916"/>
      <c r="R10" s="649"/>
    </row>
    <row r="11" spans="1:18" ht="4.5" customHeight="1">
      <c r="A11" s="649"/>
      <c r="B11" s="895"/>
      <c r="C11" s="896"/>
      <c r="D11" s="896"/>
      <c r="E11" s="122"/>
      <c r="F11" s="137"/>
      <c r="G11" s="137"/>
      <c r="H11" s="137"/>
      <c r="I11" s="137"/>
      <c r="J11" s="137"/>
      <c r="K11" s="137"/>
      <c r="L11" s="137"/>
      <c r="M11" s="892"/>
      <c r="N11" s="892"/>
      <c r="O11" s="675"/>
      <c r="P11" s="902"/>
      <c r="Q11" s="916"/>
      <c r="R11" s="649"/>
    </row>
    <row r="12" spans="1:18" ht="4.5" customHeight="1">
      <c r="A12" s="649"/>
      <c r="B12" s="139"/>
      <c r="C12" s="137"/>
      <c r="D12" s="137"/>
      <c r="E12" s="122"/>
      <c r="F12" s="137"/>
      <c r="G12" s="892"/>
      <c r="H12" s="892"/>
      <c r="I12" s="892"/>
      <c r="J12" s="892"/>
      <c r="K12" s="892"/>
      <c r="L12" s="892"/>
      <c r="M12" s="892"/>
      <c r="N12" s="892"/>
      <c r="O12" s="675"/>
      <c r="P12" s="902"/>
      <c r="Q12" s="916"/>
      <c r="R12" s="649"/>
    </row>
    <row r="13" spans="1:18" ht="15.75">
      <c r="A13" s="649"/>
      <c r="B13" s="975" t="s">
        <v>98</v>
      </c>
      <c r="C13" s="976"/>
      <c r="D13" s="976"/>
      <c r="E13" s="977"/>
      <c r="F13" s="964">
        <v>37269</v>
      </c>
      <c r="G13" s="965"/>
      <c r="H13" s="966"/>
      <c r="I13" s="763" t="s">
        <v>19</v>
      </c>
      <c r="J13" s="760">
        <f>IF(F13="","",DAYS360(F13,B5))</f>
        <v>4089</v>
      </c>
      <c r="K13" s="761" t="str">
        <f>IF(J13="","&lt;&lt;Introducir fecha nac.  (formato: 23/08/05) ",IF(J13&lt;0,"Cuidado: error en la fecha",IF(J13&lt;230,"días de vida",IF(J13&gt;230,"días. ¡¡Demasiado para un neonato !!","?"))))</f>
        <v>días. ¡¡Demasiado para un neonato !!</v>
      </c>
      <c r="L13" s="762"/>
      <c r="M13" s="762"/>
      <c r="N13" s="762"/>
      <c r="O13" s="943" t="str">
        <f>IF(J13="","?",IF(J13&lt;0,"?",IF(J13&lt;230,J13,IF(J13&gt;230,"?",0))))</f>
        <v>?</v>
      </c>
      <c r="P13" s="902"/>
      <c r="Q13" s="916"/>
      <c r="R13" s="649"/>
    </row>
    <row r="14" spans="1:18" ht="4.5" customHeight="1">
      <c r="A14" s="649"/>
      <c r="B14" s="895"/>
      <c r="C14" s="896"/>
      <c r="D14" s="896"/>
      <c r="E14" s="137"/>
      <c r="F14" s="137"/>
      <c r="G14" s="892"/>
      <c r="H14" s="892"/>
      <c r="I14" s="892"/>
      <c r="J14" s="893"/>
      <c r="K14" s="893"/>
      <c r="L14" s="893"/>
      <c r="M14" s="893"/>
      <c r="N14" s="893"/>
      <c r="O14" s="894"/>
      <c r="P14" s="902"/>
      <c r="Q14" s="916"/>
      <c r="R14" s="649"/>
    </row>
    <row r="15" spans="1:18" ht="4.5" customHeight="1">
      <c r="A15" s="649"/>
      <c r="B15" s="895"/>
      <c r="C15" s="896"/>
      <c r="D15" s="896"/>
      <c r="E15" s="122"/>
      <c r="F15" s="137"/>
      <c r="G15" s="137"/>
      <c r="H15" s="137"/>
      <c r="I15" s="137"/>
      <c r="J15" s="137"/>
      <c r="K15" s="893"/>
      <c r="L15" s="893"/>
      <c r="M15" s="893"/>
      <c r="N15" s="893"/>
      <c r="O15" s="894"/>
      <c r="P15" s="902"/>
      <c r="Q15" s="916"/>
      <c r="R15" s="649"/>
    </row>
    <row r="16" spans="1:18" ht="4.5" customHeight="1">
      <c r="A16" s="649"/>
      <c r="B16" s="139"/>
      <c r="C16" s="137"/>
      <c r="D16" s="137"/>
      <c r="E16" s="137"/>
      <c r="F16" s="137"/>
      <c r="G16" s="892"/>
      <c r="H16" s="892"/>
      <c r="I16" s="892"/>
      <c r="J16" s="893"/>
      <c r="K16" s="893"/>
      <c r="L16" s="893"/>
      <c r="M16" s="893"/>
      <c r="N16" s="893"/>
      <c r="O16" s="894"/>
      <c r="P16" s="902"/>
      <c r="Q16" s="916"/>
      <c r="R16" s="649"/>
    </row>
    <row r="17" spans="1:18" ht="18">
      <c r="A17" s="649"/>
      <c r="B17" s="978" t="s">
        <v>99</v>
      </c>
      <c r="C17" s="976"/>
      <c r="D17" s="976"/>
      <c r="E17" s="977"/>
      <c r="F17" s="967">
        <v>1.94</v>
      </c>
      <c r="G17" s="968"/>
      <c r="H17" s="969"/>
      <c r="I17" s="765"/>
      <c r="J17" s="761" t="str">
        <f>IF(F17="","&lt;&lt;Introducir peso  (en Kg.) ",IF(H28&gt;=9,"¡¡ introducir en formato adecuado !!","Kg"))</f>
        <v>Kg</v>
      </c>
      <c r="K17" s="762"/>
      <c r="L17" s="762"/>
      <c r="M17" s="762"/>
      <c r="N17" s="762"/>
      <c r="O17" s="887" t="str">
        <f>IF(H28="¿?","",IF(C29="","",IF(D29="","",IF(B29&lt;C29,"RN de Bajo Peso para su Edad Gestacional !!    ",IF(B29&gt;D29,"RN de Peso Elevado para su Edad Gestacional !!   ","RN de Peso Adecuado para su edad gestacional  ")))))</f>
        <v>RN de Peso Adecuado para su edad gestacional  </v>
      </c>
      <c r="P17" s="903"/>
      <c r="Q17" s="917"/>
      <c r="R17" s="649"/>
    </row>
    <row r="18" spans="1:18" ht="4.5" customHeight="1">
      <c r="A18" s="649"/>
      <c r="B18" s="895"/>
      <c r="C18" s="896"/>
      <c r="D18" s="896"/>
      <c r="E18" s="896"/>
      <c r="F18" s="137"/>
      <c r="G18" s="892"/>
      <c r="H18" s="892"/>
      <c r="I18" s="892"/>
      <c r="J18" s="893"/>
      <c r="K18" s="893"/>
      <c r="L18" s="893"/>
      <c r="M18" s="893"/>
      <c r="N18" s="893"/>
      <c r="O18" s="894"/>
      <c r="P18" s="902"/>
      <c r="Q18" s="916"/>
      <c r="R18" s="649"/>
    </row>
    <row r="19" spans="1:18" ht="4.5" customHeight="1">
      <c r="A19" s="649"/>
      <c r="B19" s="895"/>
      <c r="C19" s="896"/>
      <c r="D19" s="896"/>
      <c r="E19" s="122"/>
      <c r="F19" s="137"/>
      <c r="G19" s="137"/>
      <c r="H19" s="137"/>
      <c r="I19" s="137"/>
      <c r="J19" s="137"/>
      <c r="K19" s="893"/>
      <c r="L19" s="893"/>
      <c r="M19" s="893"/>
      <c r="N19" s="893"/>
      <c r="O19" s="894"/>
      <c r="P19" s="902"/>
      <c r="Q19" s="916"/>
      <c r="R19" s="649"/>
    </row>
    <row r="20" spans="1:18" ht="4.5" customHeight="1">
      <c r="A20" s="649"/>
      <c r="B20" s="895"/>
      <c r="C20" s="896"/>
      <c r="D20" s="896"/>
      <c r="E20" s="137"/>
      <c r="F20" s="137"/>
      <c r="G20" s="892"/>
      <c r="H20" s="892"/>
      <c r="I20" s="892"/>
      <c r="J20" s="893"/>
      <c r="K20" s="893"/>
      <c r="L20" s="893"/>
      <c r="M20" s="893"/>
      <c r="N20" s="893"/>
      <c r="O20" s="894"/>
      <c r="P20" s="902"/>
      <c r="Q20" s="916"/>
      <c r="R20" s="649"/>
    </row>
    <row r="21" spans="1:18" ht="18" customHeight="1">
      <c r="A21" s="649"/>
      <c r="B21" s="975" t="str">
        <f>IF(F21="","Puede requerirse la Edad Gestacional: ","Edad gestacional al nacer: ")</f>
        <v>Edad gestacional al nacer: </v>
      </c>
      <c r="C21" s="979"/>
      <c r="D21" s="979"/>
      <c r="E21" s="980"/>
      <c r="F21" s="798">
        <v>34</v>
      </c>
      <c r="G21" s="695" t="s">
        <v>374</v>
      </c>
      <c r="H21" s="679">
        <v>5</v>
      </c>
      <c r="I21" s="765"/>
      <c r="J21" s="761" t="str">
        <f>IF(F21="","&lt;&lt;Introducir edad gestacional entera ",IF(O21=0,"¡¡ introducir en formato adecuado !!","Semanas de Gestación al nacimiento"))</f>
        <v>Semanas de Gestación al nacimiento</v>
      </c>
      <c r="K21" s="762"/>
      <c r="L21" s="762"/>
      <c r="M21" s="762"/>
      <c r="N21" s="762"/>
      <c r="O21" s="943">
        <f>IF(F21="",0,IF(F21&lt;21,0,IF(F21&lt;44,F21,IF(F21&gt;44,0,0))))</f>
        <v>34</v>
      </c>
      <c r="P21" s="902"/>
      <c r="Q21" s="916"/>
      <c r="R21" s="649"/>
    </row>
    <row r="22" spans="1:18" ht="15" customHeight="1">
      <c r="A22" s="649"/>
      <c r="B22" s="973" t="s">
        <v>17</v>
      </c>
      <c r="C22" s="974"/>
      <c r="D22" s="974"/>
      <c r="E22" s="974"/>
      <c r="F22" s="797" t="s">
        <v>18</v>
      </c>
      <c r="G22" s="680"/>
      <c r="H22" s="681" t="str">
        <f>IF(M28="0","¡¡ introducir días en formato adecuado !!","(días)")</f>
        <v>(días)</v>
      </c>
      <c r="I22" s="765"/>
      <c r="J22" s="766"/>
      <c r="K22" s="892"/>
      <c r="L22" s="767" t="s">
        <v>193</v>
      </c>
      <c r="M22" s="802" t="str">
        <f>IF(O21=0,"¿?",IF(O13="?","??   ¿Falta F. Nac o incorrecta?",(O21*7+M28+O13)/7))</f>
        <v>??   ¿Falta F. Nac o incorrecta?</v>
      </c>
      <c r="N22" s="762"/>
      <c r="O22" s="764"/>
      <c r="P22" s="902"/>
      <c r="Q22" s="916"/>
      <c r="R22" s="649"/>
    </row>
    <row r="23" spans="1:18" ht="1.5" customHeight="1">
      <c r="A23" s="649"/>
      <c r="B23" s="691"/>
      <c r="C23" s="692"/>
      <c r="D23" s="692"/>
      <c r="E23" s="678"/>
      <c r="F23" s="132"/>
      <c r="G23" s="670"/>
      <c r="H23" s="669"/>
      <c r="I23" s="678"/>
      <c r="J23" s="669"/>
      <c r="K23" s="677"/>
      <c r="L23" s="677"/>
      <c r="M23" s="677"/>
      <c r="N23" s="677"/>
      <c r="O23" s="676"/>
      <c r="P23" s="904"/>
      <c r="Q23" s="904"/>
      <c r="R23" s="649"/>
    </row>
    <row r="24" spans="1:18" ht="5.25" customHeight="1">
      <c r="A24" s="649"/>
      <c r="B24" s="864"/>
      <c r="C24" s="897"/>
      <c r="D24" s="897"/>
      <c r="E24" s="897"/>
      <c r="F24" s="898"/>
      <c r="G24" s="899"/>
      <c r="H24" s="898"/>
      <c r="I24" s="897"/>
      <c r="J24" s="898"/>
      <c r="K24" s="900"/>
      <c r="L24" s="900"/>
      <c r="M24" s="900"/>
      <c r="N24" s="900"/>
      <c r="O24" s="901"/>
      <c r="P24" s="904"/>
      <c r="Q24" s="904"/>
      <c r="R24" s="649"/>
    </row>
    <row r="25" spans="1:18" ht="21" customHeight="1">
      <c r="A25" s="649"/>
      <c r="B25" s="647"/>
      <c r="C25" s="647"/>
      <c r="D25" s="647"/>
      <c r="E25" s="890"/>
      <c r="F25" s="682"/>
      <c r="G25" s="682"/>
      <c r="H25" s="682"/>
      <c r="I25" s="682"/>
      <c r="J25" s="682"/>
      <c r="K25" s="693"/>
      <c r="L25" s="693"/>
      <c r="M25" s="693"/>
      <c r="N25" s="684"/>
      <c r="O25" s="683"/>
      <c r="P25" s="649"/>
      <c r="Q25" s="649"/>
      <c r="R25" s="649"/>
    </row>
    <row r="26" spans="1:18" ht="12.75" customHeight="1">
      <c r="A26" s="647"/>
      <c r="B26" s="647"/>
      <c r="C26" s="647"/>
      <c r="D26" s="647"/>
      <c r="E26" s="891"/>
      <c r="F26" s="682"/>
      <c r="G26" s="682"/>
      <c r="H26" s="682"/>
      <c r="I26" s="682"/>
      <c r="J26" s="682"/>
      <c r="K26" s="682"/>
      <c r="L26" s="684"/>
      <c r="M26" s="684"/>
      <c r="N26" s="684"/>
      <c r="O26" s="683"/>
      <c r="P26" s="649"/>
      <c r="Q26" s="649"/>
      <c r="R26" s="649"/>
    </row>
    <row r="27" spans="1:18" ht="21.75" customHeight="1">
      <c r="A27" s="647"/>
      <c r="B27" s="882"/>
      <c r="C27" s="882"/>
      <c r="D27" s="882"/>
      <c r="E27" s="883"/>
      <c r="F27" s="884"/>
      <c r="G27" s="885"/>
      <c r="H27" s="885"/>
      <c r="I27" s="885"/>
      <c r="J27" s="885"/>
      <c r="K27" s="885"/>
      <c r="L27" s="885"/>
      <c r="M27" s="885"/>
      <c r="N27" s="885"/>
      <c r="O27" s="885"/>
      <c r="P27" s="886"/>
      <c r="Q27" s="886"/>
      <c r="R27" s="668"/>
    </row>
    <row r="28" spans="1:18" ht="23.25">
      <c r="A28" s="647"/>
      <c r="B28" s="919" t="s">
        <v>368</v>
      </c>
      <c r="C28" s="919" t="s">
        <v>13</v>
      </c>
      <c r="D28" s="919" t="s">
        <v>14</v>
      </c>
      <c r="E28" s="920" t="s">
        <v>16</v>
      </c>
      <c r="F28" s="921"/>
      <c r="G28" s="922" t="s">
        <v>112</v>
      </c>
      <c r="H28" s="921">
        <f>IF(F17&lt;0.3,"¿?",IF(F17&lt;9,F17,"¿?"))</f>
        <v>1.94</v>
      </c>
      <c r="I28" s="693"/>
      <c r="J28" s="922"/>
      <c r="K28" s="922"/>
      <c r="L28" s="922" t="s">
        <v>347</v>
      </c>
      <c r="M28" s="923">
        <f>IF(H21&lt;1,0,IF(H21&lt;7,H21,IF(H21&gt;6,0)))</f>
        <v>5</v>
      </c>
      <c r="N28" s="924"/>
      <c r="O28" s="693"/>
      <c r="P28" s="925"/>
      <c r="Q28" s="925"/>
      <c r="R28" s="926"/>
    </row>
    <row r="29" spans="1:18" ht="23.25">
      <c r="A29" s="647"/>
      <c r="B29" s="927">
        <f>H28</f>
        <v>1.94</v>
      </c>
      <c r="C29" s="928">
        <f>IF(O21=0,"",LOOKUP(O21,Paciente!L42:L72,Paciente!M42:M72))</f>
        <v>1.6</v>
      </c>
      <c r="D29" s="928">
        <f>IF(O21=0,"",LOOKUP(O21,Paciente!L42:L72,Paciente!N42:N72))</f>
        <v>2.94</v>
      </c>
      <c r="E29" s="919" t="str">
        <f>IF(H28="¿?","",IF(C29="","",IF(D29="","",IF(B29&lt;C29,"BPEG",IF(B29&gt;D29,"RN de Peso Elevado para su Edad Gestacional !!   ","AEG")))))</f>
        <v>AEG</v>
      </c>
      <c r="F29" s="921"/>
      <c r="G29" s="919"/>
      <c r="H29" s="919"/>
      <c r="I29" s="919"/>
      <c r="J29" s="919"/>
      <c r="K29" s="919"/>
      <c r="L29" s="922" t="s">
        <v>377</v>
      </c>
      <c r="M29" s="929" t="e">
        <f>(O21*7+M28+O13)/7</f>
        <v>#VALUE!</v>
      </c>
      <c r="N29" s="929"/>
      <c r="O29" s="929" t="str">
        <f>IF(O13="?","?",IF(O21=0,"?",M29))</f>
        <v>?</v>
      </c>
      <c r="P29" s="925"/>
      <c r="Q29" s="925"/>
      <c r="R29" s="926"/>
    </row>
    <row r="30" spans="1:18" ht="23.25">
      <c r="A30" s="647"/>
      <c r="B30" s="930"/>
      <c r="C30" s="930"/>
      <c r="D30" s="930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25"/>
      <c r="P30" s="931"/>
      <c r="Q30" s="931"/>
      <c r="R30" s="926"/>
    </row>
    <row r="31" spans="1:18" ht="23.25">
      <c r="A31" s="647"/>
      <c r="B31" s="647"/>
      <c r="C31" s="647"/>
      <c r="D31" s="647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9"/>
      <c r="P31" s="649"/>
      <c r="Q31" s="649"/>
      <c r="R31" s="649"/>
    </row>
    <row r="32" spans="1:18" ht="23.25">
      <c r="A32" s="647"/>
      <c r="B32" s="647"/>
      <c r="C32" s="647"/>
      <c r="D32" s="647"/>
      <c r="E32" s="648"/>
      <c r="F32" s="883"/>
      <c r="G32" s="648"/>
      <c r="H32" s="648"/>
      <c r="I32" s="648"/>
      <c r="J32" s="648"/>
      <c r="K32" s="648"/>
      <c r="L32" s="648"/>
      <c r="M32" s="648"/>
      <c r="N32" s="648"/>
      <c r="O32" s="649"/>
      <c r="P32" s="649"/>
      <c r="Q32" s="649"/>
      <c r="R32" s="649"/>
    </row>
    <row r="33" spans="1:18" ht="23.25">
      <c r="A33" s="647"/>
      <c r="B33" s="647"/>
      <c r="C33" s="647"/>
      <c r="D33" s="647"/>
      <c r="E33" s="648"/>
      <c r="F33" s="883"/>
      <c r="G33" s="648"/>
      <c r="H33" s="648"/>
      <c r="I33" s="648"/>
      <c r="J33" s="648"/>
      <c r="K33" s="648"/>
      <c r="L33" s="648"/>
      <c r="M33" s="648"/>
      <c r="N33" s="648"/>
      <c r="O33" s="649"/>
      <c r="P33" s="649"/>
      <c r="Q33" s="649"/>
      <c r="R33" s="649"/>
    </row>
    <row r="34" spans="1:18" ht="23.25">
      <c r="A34" s="647"/>
      <c r="B34" s="647"/>
      <c r="C34" s="647"/>
      <c r="D34" s="647"/>
      <c r="E34" s="648"/>
      <c r="F34" s="883"/>
      <c r="G34" s="648"/>
      <c r="H34" s="648"/>
      <c r="I34" s="648"/>
      <c r="J34" s="648"/>
      <c r="K34" s="648"/>
      <c r="L34" s="648"/>
      <c r="M34" s="648"/>
      <c r="N34" s="648"/>
      <c r="O34" s="649"/>
      <c r="P34" s="649"/>
      <c r="Q34" s="649"/>
      <c r="R34" s="649"/>
    </row>
    <row r="35" spans="1:18" ht="23.25">
      <c r="A35" s="647"/>
      <c r="B35" s="647"/>
      <c r="C35" s="647"/>
      <c r="D35" s="647"/>
      <c r="E35" s="648"/>
      <c r="F35" s="883"/>
      <c r="G35" s="648"/>
      <c r="H35" s="648"/>
      <c r="I35" s="648"/>
      <c r="J35" s="648"/>
      <c r="K35" s="648"/>
      <c r="L35" s="648"/>
      <c r="M35" s="648"/>
      <c r="N35" s="648"/>
      <c r="O35" s="649"/>
      <c r="P35" s="649"/>
      <c r="Q35" s="649"/>
      <c r="R35" s="649"/>
    </row>
    <row r="36" spans="1:18" ht="23.25">
      <c r="A36" s="647"/>
      <c r="B36" s="647"/>
      <c r="C36" s="647"/>
      <c r="D36" s="647"/>
      <c r="E36" s="648"/>
      <c r="F36" s="883"/>
      <c r="G36" s="648"/>
      <c r="H36" s="648"/>
      <c r="I36" s="648"/>
      <c r="J36" s="648"/>
      <c r="K36" s="648"/>
      <c r="L36" s="648"/>
      <c r="M36" s="648"/>
      <c r="N36" s="648"/>
      <c r="O36" s="649"/>
      <c r="P36" s="649"/>
      <c r="Q36" s="649"/>
      <c r="R36" s="649"/>
    </row>
    <row r="37" spans="1:18" ht="23.25">
      <c r="A37" s="647"/>
      <c r="B37" s="647"/>
      <c r="C37" s="647"/>
      <c r="D37" s="647"/>
      <c r="E37" s="648"/>
      <c r="F37" s="147"/>
      <c r="G37" s="648"/>
      <c r="H37" s="648"/>
      <c r="I37" s="648"/>
      <c r="J37" s="648"/>
      <c r="K37" s="648"/>
      <c r="L37" s="648"/>
      <c r="M37" s="648"/>
      <c r="N37" s="648"/>
      <c r="O37" s="649"/>
      <c r="P37" s="649"/>
      <c r="Q37" s="649"/>
      <c r="R37" s="649"/>
    </row>
    <row r="38" spans="1:18" ht="23.25">
      <c r="A38" s="647"/>
      <c r="B38" s="647"/>
      <c r="C38" s="647"/>
      <c r="D38" s="647"/>
      <c r="E38" s="197"/>
      <c r="F38" s="197"/>
      <c r="G38" s="197"/>
      <c r="H38" s="197"/>
      <c r="I38" s="197"/>
      <c r="J38" s="197"/>
      <c r="K38" s="197"/>
      <c r="L38" s="648"/>
      <c r="M38" s="648"/>
      <c r="N38" s="648"/>
      <c r="O38" s="649"/>
      <c r="P38" s="649"/>
      <c r="Q38" s="649"/>
      <c r="R38" s="649"/>
    </row>
    <row r="39" spans="1:18" ht="23.25">
      <c r="A39" s="647"/>
      <c r="B39" s="647"/>
      <c r="C39" s="647"/>
      <c r="D39" s="647"/>
      <c r="E39" s="197"/>
      <c r="F39" s="197"/>
      <c r="G39" s="197"/>
      <c r="H39" s="197"/>
      <c r="I39" s="197"/>
      <c r="J39" s="197"/>
      <c r="K39" s="197"/>
      <c r="L39" s="648"/>
      <c r="M39" s="648"/>
      <c r="N39" s="648"/>
      <c r="O39" s="649"/>
      <c r="P39" s="649"/>
      <c r="Q39" s="649"/>
      <c r="R39" s="649"/>
    </row>
    <row r="40" spans="1:18" ht="23.25">
      <c r="A40" s="647"/>
      <c r="B40" s="647"/>
      <c r="C40" s="647"/>
      <c r="D40" s="647"/>
      <c r="E40" s="197"/>
      <c r="F40" s="197"/>
      <c r="G40" s="197"/>
      <c r="H40" s="197"/>
      <c r="I40" s="197"/>
      <c r="J40" s="197"/>
      <c r="K40" s="197"/>
      <c r="L40" s="759" t="s">
        <v>135</v>
      </c>
      <c r="M40" s="756"/>
      <c r="N40" s="757"/>
      <c r="O40" s="649"/>
      <c r="P40" s="649"/>
      <c r="Q40" s="649"/>
      <c r="R40" s="649"/>
    </row>
    <row r="41" spans="1:18" ht="12" customHeight="1">
      <c r="A41" s="647"/>
      <c r="B41" s="647"/>
      <c r="C41" s="647"/>
      <c r="D41" s="647"/>
      <c r="E41" s="197"/>
      <c r="F41" s="197"/>
      <c r="G41" s="197"/>
      <c r="H41" s="197"/>
      <c r="I41" s="197"/>
      <c r="J41" s="197"/>
      <c r="K41" s="197"/>
      <c r="L41" s="754" t="s">
        <v>369</v>
      </c>
      <c r="M41" s="753" t="s">
        <v>94</v>
      </c>
      <c r="N41" s="755" t="s">
        <v>95</v>
      </c>
      <c r="O41" s="649"/>
      <c r="P41" s="649"/>
      <c r="Q41" s="649"/>
      <c r="R41" s="649"/>
    </row>
    <row r="42" spans="1:18" ht="12" customHeight="1">
      <c r="A42" s="647"/>
      <c r="B42" s="647"/>
      <c r="C42" s="647"/>
      <c r="D42" s="647"/>
      <c r="E42" s="197"/>
      <c r="F42" s="197"/>
      <c r="G42" s="197"/>
      <c r="H42" s="197"/>
      <c r="I42" s="197"/>
      <c r="J42" s="197"/>
      <c r="K42" s="197"/>
      <c r="L42" s="804">
        <v>20</v>
      </c>
      <c r="M42" s="803">
        <v>0.2</v>
      </c>
      <c r="N42" s="803">
        <v>0.85</v>
      </c>
      <c r="O42" s="649"/>
      <c r="P42" s="649"/>
      <c r="Q42" s="649"/>
      <c r="R42" s="649"/>
    </row>
    <row r="43" spans="1:18" ht="12" customHeight="1">
      <c r="A43" s="758"/>
      <c r="B43" s="758"/>
      <c r="C43" s="758"/>
      <c r="D43" s="758"/>
      <c r="E43" s="197"/>
      <c r="F43" s="197"/>
      <c r="G43" s="197"/>
      <c r="H43" s="197"/>
      <c r="I43" s="197"/>
      <c r="J43" s="197"/>
      <c r="K43" s="197"/>
      <c r="L43" s="804">
        <v>21</v>
      </c>
      <c r="M43" s="803">
        <v>0.25</v>
      </c>
      <c r="N43" s="803">
        <v>0.925</v>
      </c>
      <c r="O43" s="648"/>
      <c r="P43" s="648"/>
      <c r="Q43" s="648"/>
      <c r="R43" s="648"/>
    </row>
    <row r="44" spans="1:18" ht="12" customHeight="1">
      <c r="A44" s="758"/>
      <c r="B44" s="758"/>
      <c r="C44" s="758"/>
      <c r="D44" s="758"/>
      <c r="E44" s="197"/>
      <c r="F44" s="197"/>
      <c r="G44" s="197"/>
      <c r="H44" s="197"/>
      <c r="I44" s="197"/>
      <c r="J44" s="197"/>
      <c r="K44" s="197"/>
      <c r="L44" s="804">
        <v>22</v>
      </c>
      <c r="M44" s="803">
        <v>0.325</v>
      </c>
      <c r="N44" s="803">
        <v>1</v>
      </c>
      <c r="O44" s="648"/>
      <c r="P44" s="648"/>
      <c r="Q44" s="648"/>
      <c r="R44" s="648"/>
    </row>
    <row r="45" spans="1:18" ht="12" customHeight="1">
      <c r="A45" s="758"/>
      <c r="B45" s="758"/>
      <c r="C45" s="758"/>
      <c r="D45" s="758"/>
      <c r="E45" s="197"/>
      <c r="F45" s="197"/>
      <c r="G45" s="197"/>
      <c r="H45" s="197"/>
      <c r="I45" s="197"/>
      <c r="J45" s="197"/>
      <c r="K45" s="197"/>
      <c r="L45" s="804">
        <v>23</v>
      </c>
      <c r="M45" s="803">
        <v>0.4</v>
      </c>
      <c r="N45" s="803">
        <v>1.075</v>
      </c>
      <c r="O45" s="648"/>
      <c r="P45" s="648"/>
      <c r="Q45" s="648"/>
      <c r="R45" s="648"/>
    </row>
    <row r="46" spans="1:18" ht="12" customHeight="1">
      <c r="A46" s="758"/>
      <c r="B46" s="758"/>
      <c r="C46" s="758"/>
      <c r="D46" s="758"/>
      <c r="E46" s="197"/>
      <c r="F46" s="197"/>
      <c r="G46" s="197"/>
      <c r="H46" s="197"/>
      <c r="I46" s="197"/>
      <c r="J46" s="197"/>
      <c r="K46" s="197"/>
      <c r="L46" s="804">
        <v>24</v>
      </c>
      <c r="M46" s="803">
        <v>0.53</v>
      </c>
      <c r="N46" s="803">
        <v>1.26</v>
      </c>
      <c r="O46" s="648"/>
      <c r="P46" s="648"/>
      <c r="Q46" s="648"/>
      <c r="R46" s="648"/>
    </row>
    <row r="47" spans="1:18" ht="12" customHeight="1">
      <c r="A47" s="758"/>
      <c r="B47" s="758"/>
      <c r="C47" s="758"/>
      <c r="D47" s="758"/>
      <c r="E47" s="197"/>
      <c r="F47" s="197"/>
      <c r="G47" s="197"/>
      <c r="H47" s="197"/>
      <c r="I47" s="197"/>
      <c r="J47" s="197"/>
      <c r="K47" s="197"/>
      <c r="L47" s="804">
        <v>25</v>
      </c>
      <c r="M47" s="803">
        <v>0.605</v>
      </c>
      <c r="N47" s="803">
        <v>1.305</v>
      </c>
      <c r="O47" s="648"/>
      <c r="P47" s="648"/>
      <c r="Q47" s="648"/>
      <c r="R47" s="648"/>
    </row>
    <row r="48" spans="1:18" ht="12" customHeight="1">
      <c r="A48" s="758"/>
      <c r="B48" s="758"/>
      <c r="C48" s="758"/>
      <c r="D48" s="758"/>
      <c r="E48" s="197"/>
      <c r="F48" s="197"/>
      <c r="G48" s="197"/>
      <c r="H48" s="197"/>
      <c r="I48" s="197"/>
      <c r="J48" s="197"/>
      <c r="K48" s="197"/>
      <c r="L48" s="804">
        <v>26</v>
      </c>
      <c r="M48" s="803">
        <v>0.685</v>
      </c>
      <c r="N48" s="803">
        <v>1.36</v>
      </c>
      <c r="O48" s="648"/>
      <c r="P48" s="648"/>
      <c r="Q48" s="648"/>
      <c r="R48" s="648"/>
    </row>
    <row r="49" spans="1:18" ht="12" customHeight="1">
      <c r="A49" s="758"/>
      <c r="B49" s="758"/>
      <c r="C49" s="758"/>
      <c r="D49" s="758"/>
      <c r="E49" s="197"/>
      <c r="F49" s="197"/>
      <c r="G49" s="197"/>
      <c r="H49" s="197"/>
      <c r="I49" s="197"/>
      <c r="J49" s="197"/>
      <c r="K49" s="197"/>
      <c r="L49" s="804">
        <v>27</v>
      </c>
      <c r="M49" s="803">
        <v>0.77</v>
      </c>
      <c r="N49" s="803">
        <v>1.435</v>
      </c>
      <c r="O49" s="648"/>
      <c r="P49" s="648"/>
      <c r="Q49" s="648"/>
      <c r="R49" s="648"/>
    </row>
    <row r="50" spans="1:18" ht="12" customHeight="1">
      <c r="A50" s="758"/>
      <c r="B50" s="758"/>
      <c r="C50" s="758"/>
      <c r="D50" s="758"/>
      <c r="E50" s="197"/>
      <c r="F50" s="197"/>
      <c r="G50" s="197"/>
      <c r="H50" s="197"/>
      <c r="I50" s="197"/>
      <c r="J50" s="197"/>
      <c r="K50" s="197"/>
      <c r="L50" s="804">
        <v>28</v>
      </c>
      <c r="M50" s="803">
        <v>0.86</v>
      </c>
      <c r="N50" s="803">
        <v>1.55</v>
      </c>
      <c r="O50" s="648"/>
      <c r="P50" s="648"/>
      <c r="Q50" s="648"/>
      <c r="R50" s="648"/>
    </row>
    <row r="51" spans="1:18" ht="12" customHeight="1">
      <c r="A51" s="758"/>
      <c r="B51" s="758"/>
      <c r="C51" s="758"/>
      <c r="D51" s="758"/>
      <c r="E51" s="197"/>
      <c r="F51" s="197"/>
      <c r="G51" s="197"/>
      <c r="H51" s="197"/>
      <c r="I51" s="197"/>
      <c r="J51" s="197"/>
      <c r="K51" s="197"/>
      <c r="L51" s="804">
        <v>29</v>
      </c>
      <c r="M51" s="803">
        <v>0.96</v>
      </c>
      <c r="N51" s="803">
        <v>1.69</v>
      </c>
      <c r="O51" s="648"/>
      <c r="P51" s="648"/>
      <c r="Q51" s="648"/>
      <c r="R51" s="648"/>
    </row>
    <row r="52" spans="1:18" ht="12" customHeight="1">
      <c r="A52" s="758"/>
      <c r="B52" s="758"/>
      <c r="C52" s="758"/>
      <c r="D52" s="758"/>
      <c r="E52" s="197"/>
      <c r="F52" s="197"/>
      <c r="G52" s="197"/>
      <c r="H52" s="197"/>
      <c r="I52" s="197"/>
      <c r="J52" s="197"/>
      <c r="K52" s="197"/>
      <c r="L52" s="804">
        <v>30</v>
      </c>
      <c r="M52" s="803">
        <v>1.06</v>
      </c>
      <c r="N52" s="803">
        <v>1.84</v>
      </c>
      <c r="O52" s="648"/>
      <c r="P52" s="648"/>
      <c r="Q52" s="648"/>
      <c r="R52" s="648"/>
    </row>
    <row r="53" spans="1:18" ht="12" customHeight="1">
      <c r="A53" s="758"/>
      <c r="B53" s="758"/>
      <c r="C53" s="758"/>
      <c r="D53" s="758"/>
      <c r="E53" s="197"/>
      <c r="F53" s="197"/>
      <c r="G53" s="197"/>
      <c r="H53" s="197"/>
      <c r="I53" s="197"/>
      <c r="J53" s="197"/>
      <c r="K53" s="197"/>
      <c r="L53" s="804">
        <v>31</v>
      </c>
      <c r="M53" s="803">
        <v>1.17</v>
      </c>
      <c r="N53" s="803">
        <v>2.03</v>
      </c>
      <c r="O53" s="648"/>
      <c r="P53" s="648"/>
      <c r="Q53" s="648"/>
      <c r="R53" s="648"/>
    </row>
    <row r="54" spans="1:18" ht="12" customHeight="1">
      <c r="A54" s="758"/>
      <c r="B54" s="758"/>
      <c r="C54" s="758"/>
      <c r="D54" s="758"/>
      <c r="E54" s="197"/>
      <c r="F54" s="197"/>
      <c r="G54" s="197"/>
      <c r="H54" s="197"/>
      <c r="I54" s="197"/>
      <c r="J54" s="197"/>
      <c r="K54" s="197"/>
      <c r="L54" s="804">
        <v>32</v>
      </c>
      <c r="M54" s="803">
        <v>1.29</v>
      </c>
      <c r="N54" s="803">
        <v>2.28</v>
      </c>
      <c r="O54" s="648"/>
      <c r="P54" s="648"/>
      <c r="Q54" s="648"/>
      <c r="R54" s="648"/>
    </row>
    <row r="55" spans="1:18" ht="12" customHeight="1">
      <c r="A55" s="758"/>
      <c r="B55" s="758"/>
      <c r="C55" s="758"/>
      <c r="D55" s="758"/>
      <c r="E55" s="197"/>
      <c r="F55" s="197"/>
      <c r="G55" s="197"/>
      <c r="H55" s="197"/>
      <c r="I55" s="197"/>
      <c r="J55" s="197"/>
      <c r="K55" s="197"/>
      <c r="L55" s="804">
        <v>33</v>
      </c>
      <c r="M55" s="803">
        <v>1.44</v>
      </c>
      <c r="N55" s="803">
        <v>2.6</v>
      </c>
      <c r="O55" s="648"/>
      <c r="P55" s="648"/>
      <c r="Q55" s="648"/>
      <c r="R55" s="648"/>
    </row>
    <row r="56" spans="1:18" ht="12" customHeight="1">
      <c r="A56" s="758"/>
      <c r="B56" s="758"/>
      <c r="C56" s="758"/>
      <c r="D56" s="758"/>
      <c r="E56" s="197"/>
      <c r="F56" s="197"/>
      <c r="G56" s="197"/>
      <c r="H56" s="197"/>
      <c r="I56" s="197"/>
      <c r="J56" s="197"/>
      <c r="K56" s="197"/>
      <c r="L56" s="804">
        <v>34</v>
      </c>
      <c r="M56" s="803">
        <v>1.6</v>
      </c>
      <c r="N56" s="803">
        <v>2.94</v>
      </c>
      <c r="O56" s="648"/>
      <c r="P56" s="648"/>
      <c r="Q56" s="648"/>
      <c r="R56" s="648"/>
    </row>
    <row r="57" spans="1:18" ht="12" customHeight="1">
      <c r="A57" s="758"/>
      <c r="B57" s="758"/>
      <c r="C57" s="758"/>
      <c r="D57" s="758"/>
      <c r="E57" s="197"/>
      <c r="F57" s="197"/>
      <c r="G57" s="197"/>
      <c r="H57" s="197"/>
      <c r="I57" s="197"/>
      <c r="J57" s="197"/>
      <c r="K57" s="197"/>
      <c r="L57" s="804">
        <v>35</v>
      </c>
      <c r="M57" s="803">
        <v>1.8</v>
      </c>
      <c r="N57" s="803">
        <v>3.2</v>
      </c>
      <c r="O57" s="648"/>
      <c r="P57" s="648"/>
      <c r="Q57" s="648"/>
      <c r="R57" s="648"/>
    </row>
    <row r="58" spans="1:18" ht="12" customHeight="1">
      <c r="A58" s="758"/>
      <c r="B58" s="758"/>
      <c r="C58" s="758"/>
      <c r="D58" s="758"/>
      <c r="E58" s="197"/>
      <c r="F58" s="197"/>
      <c r="G58" s="197"/>
      <c r="H58" s="197"/>
      <c r="I58" s="197"/>
      <c r="J58" s="197"/>
      <c r="K58" s="197"/>
      <c r="L58" s="804">
        <v>36</v>
      </c>
      <c r="M58" s="803">
        <v>2.05</v>
      </c>
      <c r="N58" s="803">
        <v>3.39</v>
      </c>
      <c r="O58" s="648"/>
      <c r="P58" s="648"/>
      <c r="Q58" s="648"/>
      <c r="R58" s="648"/>
    </row>
    <row r="59" spans="1:18" ht="12" customHeight="1">
      <c r="A59" s="758"/>
      <c r="B59" s="758"/>
      <c r="C59" s="758"/>
      <c r="D59" s="758"/>
      <c r="E59" s="197"/>
      <c r="F59" s="197"/>
      <c r="G59" s="197"/>
      <c r="H59" s="197"/>
      <c r="I59" s="197"/>
      <c r="J59" s="197"/>
      <c r="K59" s="197"/>
      <c r="L59" s="804">
        <v>37</v>
      </c>
      <c r="M59" s="803">
        <v>2.26</v>
      </c>
      <c r="N59" s="803">
        <v>3.52</v>
      </c>
      <c r="O59" s="648"/>
      <c r="P59" s="648"/>
      <c r="Q59" s="648"/>
      <c r="R59" s="648"/>
    </row>
    <row r="60" spans="1:18" ht="12" customHeight="1">
      <c r="A60" s="758"/>
      <c r="B60" s="758"/>
      <c r="C60" s="758"/>
      <c r="D60" s="758"/>
      <c r="E60" s="197"/>
      <c r="F60" s="197"/>
      <c r="G60" s="197"/>
      <c r="H60" s="197"/>
      <c r="I60" s="197"/>
      <c r="J60" s="197"/>
      <c r="K60" s="197"/>
      <c r="L60" s="804">
        <v>38</v>
      </c>
      <c r="M60" s="803">
        <v>2.43</v>
      </c>
      <c r="N60" s="803">
        <v>3.64</v>
      </c>
      <c r="O60" s="648"/>
      <c r="P60" s="648"/>
      <c r="Q60" s="648"/>
      <c r="R60" s="648"/>
    </row>
    <row r="61" spans="1:18" ht="12" customHeight="1">
      <c r="A61" s="758"/>
      <c r="B61" s="758"/>
      <c r="C61" s="758"/>
      <c r="D61" s="758"/>
      <c r="E61" s="197"/>
      <c r="F61" s="197"/>
      <c r="G61" s="197"/>
      <c r="H61" s="197"/>
      <c r="I61" s="197"/>
      <c r="J61" s="197"/>
      <c r="K61" s="197"/>
      <c r="L61" s="804">
        <v>39</v>
      </c>
      <c r="M61" s="803">
        <v>2.55</v>
      </c>
      <c r="N61" s="803">
        <v>3.735</v>
      </c>
      <c r="O61" s="648"/>
      <c r="P61" s="648"/>
      <c r="Q61" s="648"/>
      <c r="R61" s="648"/>
    </row>
    <row r="62" spans="1:18" ht="12" customHeight="1">
      <c r="A62" s="758"/>
      <c r="B62" s="758"/>
      <c r="C62" s="758"/>
      <c r="D62" s="758"/>
      <c r="E62" s="197"/>
      <c r="F62" s="197"/>
      <c r="G62" s="197"/>
      <c r="H62" s="197"/>
      <c r="I62" s="197"/>
      <c r="J62" s="197"/>
      <c r="K62" s="197"/>
      <c r="L62" s="804">
        <v>40</v>
      </c>
      <c r="M62" s="803">
        <v>2.63</v>
      </c>
      <c r="N62" s="803">
        <v>3.815</v>
      </c>
      <c r="O62" s="648"/>
      <c r="P62" s="648"/>
      <c r="Q62" s="648"/>
      <c r="R62" s="648"/>
    </row>
    <row r="63" spans="1:18" ht="12" customHeight="1">
      <c r="A63" s="758"/>
      <c r="B63" s="758"/>
      <c r="C63" s="758"/>
      <c r="D63" s="758"/>
      <c r="E63" s="197"/>
      <c r="F63" s="197"/>
      <c r="G63" s="197"/>
      <c r="H63" s="197"/>
      <c r="I63" s="197"/>
      <c r="J63" s="197"/>
      <c r="K63" s="197"/>
      <c r="L63" s="804">
        <v>41</v>
      </c>
      <c r="M63" s="803">
        <v>2.69</v>
      </c>
      <c r="N63" s="803">
        <v>3.87</v>
      </c>
      <c r="O63" s="648"/>
      <c r="P63" s="648"/>
      <c r="Q63" s="648"/>
      <c r="R63" s="648"/>
    </row>
    <row r="64" spans="1:18" ht="12" customHeight="1">
      <c r="A64" s="758"/>
      <c r="B64" s="758"/>
      <c r="C64" s="758"/>
      <c r="D64" s="758"/>
      <c r="E64" s="197"/>
      <c r="F64" s="197"/>
      <c r="G64" s="197"/>
      <c r="H64" s="197"/>
      <c r="I64" s="197"/>
      <c r="J64" s="197"/>
      <c r="K64" s="197"/>
      <c r="L64" s="804">
        <v>42</v>
      </c>
      <c r="M64" s="803">
        <v>2.72</v>
      </c>
      <c r="N64" s="803">
        <v>3.89</v>
      </c>
      <c r="O64" s="648"/>
      <c r="P64" s="648"/>
      <c r="Q64" s="648"/>
      <c r="R64" s="648"/>
    </row>
    <row r="65" spans="1:18" ht="12" customHeight="1">
      <c r="A65" s="758"/>
      <c r="B65" s="758"/>
      <c r="C65" s="758"/>
      <c r="D65" s="758"/>
      <c r="E65" s="197"/>
      <c r="F65" s="197"/>
      <c r="G65" s="197"/>
      <c r="H65" s="197"/>
      <c r="I65" s="197"/>
      <c r="J65" s="197"/>
      <c r="K65" s="197"/>
      <c r="L65" s="804">
        <v>43</v>
      </c>
      <c r="M65" s="803">
        <v>2.725</v>
      </c>
      <c r="N65" s="803">
        <v>3.925</v>
      </c>
      <c r="O65" s="648"/>
      <c r="P65" s="648"/>
      <c r="Q65" s="648"/>
      <c r="R65" s="648"/>
    </row>
    <row r="66" spans="1:18" ht="12" customHeight="1">
      <c r="A66" s="758"/>
      <c r="B66" s="758"/>
      <c r="C66" s="758"/>
      <c r="D66" s="758"/>
      <c r="E66" s="197"/>
      <c r="F66" s="197"/>
      <c r="G66" s="197"/>
      <c r="H66" s="197"/>
      <c r="I66" s="197"/>
      <c r="J66" s="197"/>
      <c r="K66" s="197"/>
      <c r="L66" s="804">
        <v>44</v>
      </c>
      <c r="M66" s="803">
        <v>2.75</v>
      </c>
      <c r="N66" s="803">
        <v>3.95</v>
      </c>
      <c r="O66" s="648"/>
      <c r="P66" s="648"/>
      <c r="Q66" s="648"/>
      <c r="R66" s="648"/>
    </row>
    <row r="67" spans="1:18" ht="12" customHeight="1">
      <c r="A67" s="758"/>
      <c r="B67" s="758"/>
      <c r="C67" s="758"/>
      <c r="D67" s="758"/>
      <c r="E67" s="197"/>
      <c r="F67" s="197"/>
      <c r="G67" s="197"/>
      <c r="H67" s="197"/>
      <c r="I67" s="197"/>
      <c r="J67" s="197"/>
      <c r="K67" s="197"/>
      <c r="L67" s="804">
        <v>45</v>
      </c>
      <c r="M67" s="803">
        <v>2.775</v>
      </c>
      <c r="N67" s="803">
        <v>3.95</v>
      </c>
      <c r="O67" s="648"/>
      <c r="P67" s="648"/>
      <c r="Q67" s="648"/>
      <c r="R67" s="648"/>
    </row>
    <row r="68" spans="1:18" ht="12" customHeight="1">
      <c r="A68" s="758"/>
      <c r="B68" s="648"/>
      <c r="C68" s="648"/>
      <c r="D68" s="648"/>
      <c r="E68" s="197"/>
      <c r="F68" s="197"/>
      <c r="G68" s="197"/>
      <c r="H68" s="197"/>
      <c r="I68" s="197"/>
      <c r="J68" s="197"/>
      <c r="K68" s="197"/>
      <c r="L68" s="804">
        <v>46</v>
      </c>
      <c r="M68" s="803">
        <v>2.8</v>
      </c>
      <c r="N68" s="803">
        <v>3.975</v>
      </c>
      <c r="O68" s="648"/>
      <c r="P68" s="648"/>
      <c r="Q68" s="648"/>
      <c r="R68" s="648"/>
    </row>
    <row r="69" spans="1:18" ht="12" customHeight="1">
      <c r="A69" s="758"/>
      <c r="B69" s="648"/>
      <c r="C69" s="648"/>
      <c r="D69" s="648"/>
      <c r="E69" s="197"/>
      <c r="F69" s="197"/>
      <c r="G69" s="197"/>
      <c r="H69" s="197"/>
      <c r="I69" s="197"/>
      <c r="J69" s="197"/>
      <c r="K69" s="197"/>
      <c r="L69" s="804">
        <v>47</v>
      </c>
      <c r="M69" s="803">
        <v>2.8</v>
      </c>
      <c r="N69" s="803">
        <v>4</v>
      </c>
      <c r="O69" s="648"/>
      <c r="P69" s="648"/>
      <c r="Q69" s="648"/>
      <c r="R69" s="648"/>
    </row>
    <row r="70" spans="1:18" ht="12" customHeight="1">
      <c r="A70" s="758"/>
      <c r="B70" s="648"/>
      <c r="C70" s="648"/>
      <c r="D70" s="648"/>
      <c r="E70" s="197"/>
      <c r="F70" s="197"/>
      <c r="G70" s="197"/>
      <c r="H70" s="197"/>
      <c r="I70" s="197"/>
      <c r="J70" s="197"/>
      <c r="K70" s="197"/>
      <c r="L70" s="804">
        <v>48</v>
      </c>
      <c r="M70" s="803">
        <v>2.825</v>
      </c>
      <c r="N70" s="803">
        <v>4</v>
      </c>
      <c r="O70" s="648"/>
      <c r="P70" s="648"/>
      <c r="Q70" s="648"/>
      <c r="R70" s="648"/>
    </row>
    <row r="71" spans="1:18" ht="12" customHeight="1">
      <c r="A71" s="758"/>
      <c r="B71" s="648"/>
      <c r="C71" s="648"/>
      <c r="D71" s="648"/>
      <c r="E71" s="197"/>
      <c r="F71" s="197"/>
      <c r="G71" s="197"/>
      <c r="H71" s="197"/>
      <c r="I71" s="197"/>
      <c r="J71" s="197"/>
      <c r="K71" s="197"/>
      <c r="L71" s="804">
        <v>49</v>
      </c>
      <c r="M71" s="803">
        <v>2.825</v>
      </c>
      <c r="N71" s="803">
        <v>4</v>
      </c>
      <c r="O71" s="648"/>
      <c r="P71" s="648"/>
      <c r="Q71" s="648"/>
      <c r="R71" s="648"/>
    </row>
    <row r="72" spans="1:18" ht="12" customHeight="1">
      <c r="A72" s="758"/>
      <c r="B72" s="648"/>
      <c r="C72" s="648"/>
      <c r="D72" s="648"/>
      <c r="E72" s="197"/>
      <c r="F72" s="197"/>
      <c r="G72" s="197"/>
      <c r="H72" s="197"/>
      <c r="I72" s="197"/>
      <c r="J72" s="197"/>
      <c r="K72" s="197"/>
      <c r="L72" s="804">
        <v>50</v>
      </c>
      <c r="M72" s="805">
        <v>2.85</v>
      </c>
      <c r="N72" s="804">
        <v>4.025</v>
      </c>
      <c r="O72" s="648"/>
      <c r="P72" s="648"/>
      <c r="Q72" s="648"/>
      <c r="R72" s="648"/>
    </row>
    <row r="73" spans="1:18" ht="12" customHeight="1">
      <c r="A73" s="758"/>
      <c r="B73" s="648"/>
      <c r="C73" s="648"/>
      <c r="D73" s="648"/>
      <c r="E73" s="197"/>
      <c r="F73" s="197"/>
      <c r="G73" s="197"/>
      <c r="H73" s="197"/>
      <c r="I73" s="197"/>
      <c r="J73" s="197"/>
      <c r="K73" s="197"/>
      <c r="L73" s="648" t="s">
        <v>136</v>
      </c>
      <c r="M73" s="197"/>
      <c r="N73" s="197"/>
      <c r="O73" s="648"/>
      <c r="P73" s="648"/>
      <c r="Q73" s="648"/>
      <c r="R73" s="648"/>
    </row>
    <row r="74" spans="1:18" ht="16.5" customHeight="1">
      <c r="A74" s="758"/>
      <c r="B74" s="648"/>
      <c r="C74" s="648"/>
      <c r="D74" s="648"/>
      <c r="E74" s="197"/>
      <c r="F74" s="197"/>
      <c r="G74" s="197"/>
      <c r="H74" s="197"/>
      <c r="I74" s="197"/>
      <c r="J74" s="648"/>
      <c r="K74" s="648"/>
      <c r="L74" s="648" t="s">
        <v>137</v>
      </c>
      <c r="M74" s="648"/>
      <c r="N74" s="648"/>
      <c r="O74" s="648"/>
      <c r="P74" s="648"/>
      <c r="Q74" s="648"/>
      <c r="R74" s="648"/>
    </row>
    <row r="75" spans="1:18" ht="10.5" customHeight="1">
      <c r="A75" s="758"/>
      <c r="B75" s="648"/>
      <c r="C75" s="648"/>
      <c r="D75" s="648"/>
      <c r="E75" s="648"/>
      <c r="F75" s="197"/>
      <c r="G75" s="648"/>
      <c r="H75" s="648"/>
      <c r="I75" s="648"/>
      <c r="J75" s="648"/>
      <c r="K75" s="648"/>
      <c r="L75" s="648"/>
      <c r="M75" s="648"/>
      <c r="N75" s="648"/>
      <c r="O75" s="648"/>
      <c r="P75" s="648"/>
      <c r="Q75" s="648"/>
      <c r="R75" s="648"/>
    </row>
    <row r="76" spans="1:18" ht="51" customHeight="1">
      <c r="A76" s="758"/>
      <c r="B76" s="648"/>
      <c r="C76" s="648"/>
      <c r="D76" s="648"/>
      <c r="E76" s="648"/>
      <c r="F76" s="197"/>
      <c r="G76" s="648"/>
      <c r="H76" s="648"/>
      <c r="I76" s="648"/>
      <c r="J76" s="648"/>
      <c r="K76" s="648"/>
      <c r="L76" s="648"/>
      <c r="M76" s="648"/>
      <c r="N76" s="648"/>
      <c r="O76" s="648"/>
      <c r="P76" s="648"/>
      <c r="Q76" s="648"/>
      <c r="R76" s="648"/>
    </row>
    <row r="77" spans="1:18" ht="30">
      <c r="A77" s="888"/>
      <c r="B77" s="888"/>
      <c r="C77" s="889" t="s">
        <v>154</v>
      </c>
      <c r="D77" s="888"/>
      <c r="E77" s="888"/>
      <c r="F77" s="888"/>
      <c r="G77" s="888"/>
      <c r="H77" s="888"/>
      <c r="I77" s="888"/>
      <c r="J77" s="888"/>
      <c r="K77" s="888"/>
      <c r="L77" s="888"/>
      <c r="M77" s="888"/>
      <c r="N77" s="888"/>
      <c r="O77" s="888"/>
      <c r="P77" s="888"/>
      <c r="Q77" s="888"/>
      <c r="R77" s="888"/>
    </row>
    <row r="78" spans="6:18" ht="151.5" customHeight="1">
      <c r="F78" s="147"/>
      <c r="O78" s="147"/>
      <c r="P78" s="147"/>
      <c r="Q78" s="147"/>
      <c r="R78" s="147"/>
    </row>
    <row r="79" ht="12.75">
      <c r="F79" s="147"/>
    </row>
  </sheetData>
  <sheetProtection password="CC1A" sheet="1" objects="1" scenarios="1"/>
  <mergeCells count="9">
    <mergeCell ref="F9:M9"/>
    <mergeCell ref="F13:H13"/>
    <mergeCell ref="F17:H17"/>
    <mergeCell ref="B5:E5"/>
    <mergeCell ref="B22:E22"/>
    <mergeCell ref="B9:E9"/>
    <mergeCell ref="B13:E13"/>
    <mergeCell ref="B17:E17"/>
    <mergeCell ref="B21:E21"/>
  </mergeCells>
  <printOptions/>
  <pageMargins left="0.7480314960629921" right="1.1" top="0.5118110236220472" bottom="1" header="0" footer="0"/>
  <pageSetup fitToHeight="1" fitToWidth="1" horizontalDpi="300" verticalDpi="3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showGridLines="0" showRowColHeaders="0" zoomScale="75" zoomScaleNormal="75" zoomScalePageLayoutView="0" workbookViewId="0" topLeftCell="A10">
      <selection activeCell="F15" sqref="F15"/>
    </sheetView>
  </sheetViews>
  <sheetFormatPr defaultColWidth="8.875" defaultRowHeight="12"/>
  <cols>
    <col min="1" max="1" width="1.00390625" style="304" customWidth="1"/>
    <col min="2" max="2" width="26.75390625" style="3" customWidth="1"/>
    <col min="3" max="3" width="4.75390625" style="3" customWidth="1"/>
    <col min="4" max="4" width="7.75390625" style="3" customWidth="1"/>
    <col min="5" max="5" width="11.25390625" style="3" customWidth="1"/>
    <col min="6" max="6" width="7.125" style="3" customWidth="1"/>
    <col min="7" max="7" width="13.75390625" style="3" customWidth="1"/>
    <col min="8" max="8" width="2.00390625" style="4" customWidth="1"/>
    <col min="9" max="9" width="10.75390625" style="4" customWidth="1"/>
    <col min="10" max="10" width="4.25390625" style="4" customWidth="1"/>
    <col min="11" max="11" width="5.125" style="4" customWidth="1"/>
    <col min="12" max="12" width="5.375" style="4" customWidth="1"/>
    <col min="13" max="13" width="7.00390625" style="3" customWidth="1"/>
    <col min="14" max="14" width="5.875" style="3" customWidth="1"/>
    <col min="15" max="15" width="5.00390625" style="2" customWidth="1"/>
    <col min="16" max="16" width="5.25390625" style="3" customWidth="1"/>
    <col min="17" max="17" width="5.875" style="3" customWidth="1"/>
    <col min="18" max="18" width="9.375" style="3" customWidth="1"/>
    <col min="19" max="19" width="0.875" style="3" customWidth="1"/>
    <col min="20" max="20" width="112.125" style="304" customWidth="1"/>
    <col min="21" max="40" width="8.875" style="3" customWidth="1"/>
    <col min="41" max="54" width="8.875" style="304" customWidth="1"/>
    <col min="55" max="16384" width="8.875" style="3" customWidth="1"/>
  </cols>
  <sheetData>
    <row r="1" spans="1:54" s="1" customFormat="1" ht="24" customHeight="1">
      <c r="A1" s="187"/>
      <c r="B1" s="186" t="s">
        <v>0</v>
      </c>
      <c r="C1" s="186"/>
      <c r="D1" s="187"/>
      <c r="E1" s="188"/>
      <c r="F1" s="187"/>
      <c r="G1" s="189"/>
      <c r="H1" s="190"/>
      <c r="I1" s="190"/>
      <c r="J1" s="190"/>
      <c r="K1" s="190"/>
      <c r="L1" s="190"/>
      <c r="M1" s="188"/>
      <c r="N1" s="191"/>
      <c r="O1" s="192"/>
      <c r="P1" s="193"/>
      <c r="Q1" s="198"/>
      <c r="R1" s="486"/>
      <c r="S1" s="187"/>
      <c r="T1" s="304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</row>
    <row r="2" spans="1:19" ht="15.75" customHeight="1">
      <c r="A2" s="198"/>
      <c r="B2" s="200" t="str">
        <f>IF(C2=0,"Introducir peso en kg &gt;&gt;","Peso:")</f>
        <v>Peso:</v>
      </c>
      <c r="C2" s="981">
        <f>Paciente!H28</f>
        <v>1.94</v>
      </c>
      <c r="D2" s="981"/>
      <c r="E2" s="202" t="str">
        <f>IF(C2&gt;=9,"¡¡ debe darse en Kg:!!","kg")</f>
        <v>kg</v>
      </c>
      <c r="F2" s="201"/>
      <c r="G2" s="203"/>
      <c r="H2" s="203"/>
      <c r="I2" s="203"/>
      <c r="J2" s="203"/>
      <c r="K2" s="203"/>
      <c r="L2" s="203"/>
      <c r="M2" s="203"/>
      <c r="N2" s="203"/>
      <c r="O2" s="197"/>
      <c r="P2" s="198"/>
      <c r="Q2" s="473" t="str">
        <f>IF(R3="","Si no lo ha hecho, por favor, lea las advertencias adjuntas.","")</f>
        <v>Si no lo ha hecho, por favor, lea las advertencias adjuntas.</v>
      </c>
      <c r="R2" s="188"/>
      <c r="S2" s="198"/>
    </row>
    <row r="3" spans="1:19" ht="3.75" customHeight="1">
      <c r="A3" s="198"/>
      <c r="B3" s="199"/>
      <c r="C3" s="199"/>
      <c r="D3" s="201"/>
      <c r="E3" s="201"/>
      <c r="F3" s="201"/>
      <c r="G3" s="198"/>
      <c r="H3" s="198"/>
      <c r="I3" s="198"/>
      <c r="J3" s="198"/>
      <c r="K3" s="198"/>
      <c r="L3" s="198"/>
      <c r="M3" s="198"/>
      <c r="N3" s="198"/>
      <c r="O3" s="206"/>
      <c r="P3" s="188"/>
      <c r="Q3" s="207"/>
      <c r="R3" s="188"/>
      <c r="S3" s="198"/>
    </row>
    <row r="4" spans="1:19" ht="12.75" customHeight="1">
      <c r="A4" s="198"/>
      <c r="B4" s="194"/>
      <c r="C4" s="208">
        <f>IF(C2="","Ir a pág.'paciente' e introducir peso",IF(C2&lt;0.3,"",IF(C2&lt;=0.5," ¿Es seguro ese peso?.",IF(C2&lt;=4.5,"",IF(C2&lt;6.5,"¿Seguro?, ¿ese peso no es demasiado?",IF(C2&lt;10000,"CON ESTE PESO  LOS CÁLCULOS PUEDEN SER INCORRECTOS",IF(C2="¿?","","")))))))</f>
      </c>
      <c r="D4" s="198"/>
      <c r="E4" s="198"/>
      <c r="F4" s="198"/>
      <c r="G4" s="469"/>
      <c r="H4" s="470" t="s">
        <v>179</v>
      </c>
      <c r="I4" s="487">
        <f ca="1">TODAY()</f>
        <v>41416</v>
      </c>
      <c r="J4" s="487"/>
      <c r="K4" s="487"/>
      <c r="L4" s="195"/>
      <c r="M4" s="198"/>
      <c r="N4" s="198"/>
      <c r="O4" s="197"/>
      <c r="P4" s="198"/>
      <c r="Q4" s="198"/>
      <c r="R4" s="198"/>
      <c r="S4" s="198"/>
    </row>
    <row r="5" spans="1:19" ht="3.75" customHeight="1">
      <c r="A5" s="198"/>
      <c r="B5" s="198"/>
      <c r="C5" s="198"/>
      <c r="D5" s="209"/>
      <c r="E5" s="198"/>
      <c r="F5" s="198"/>
      <c r="G5" s="198"/>
      <c r="H5" s="195"/>
      <c r="I5" s="195"/>
      <c r="J5" s="195"/>
      <c r="K5" s="200"/>
      <c r="L5" s="201"/>
      <c r="M5" s="198"/>
      <c r="N5" s="205"/>
      <c r="O5" s="197"/>
      <c r="P5" s="198"/>
      <c r="Q5" s="198"/>
      <c r="R5" s="198"/>
      <c r="S5" s="198"/>
    </row>
    <row r="6" spans="1:19" ht="12.75" customHeight="1">
      <c r="A6" s="198"/>
      <c r="B6" s="210" t="str">
        <f>IF(Paciente!F9="","",Paciente!F9)</f>
        <v>Antonio Cuñarro</v>
      </c>
      <c r="C6" s="198"/>
      <c r="D6" s="211"/>
      <c r="E6" s="212"/>
      <c r="F6" s="212"/>
      <c r="G6" s="212"/>
      <c r="H6" s="204" t="str">
        <f>IF(J6="","Introducir  F. Nac. En la hoja 'Paciente'","Fecha nacimiento:")</f>
        <v>Fecha nacimiento:</v>
      </c>
      <c r="I6" s="512">
        <f>IF(Paciente!F13="","",Paciente!F13)</f>
        <v>37269</v>
      </c>
      <c r="J6" s="552">
        <f>IF(I6="","",DAYS360(I6,I4))</f>
        <v>4089</v>
      </c>
      <c r="K6" s="543" t="str">
        <f>IF(J6="","",IF(J6&lt;0,"Cuidado: error en la fecha",IF(J6&lt;230,"días de vida",IF(J6&gt;230,"¡¡días!!. Demasiado para NN !!",""))))</f>
        <v>¡¡días!!. Demasiado para NN !!</v>
      </c>
      <c r="L6" s="198"/>
      <c r="M6" s="468"/>
      <c r="N6" s="198"/>
      <c r="O6" s="213"/>
      <c r="P6" s="213"/>
      <c r="Q6" s="213"/>
      <c r="R6" s="214"/>
      <c r="S6" s="198"/>
    </row>
    <row r="7" spans="1:19" ht="4.5" customHeight="1">
      <c r="A7" s="198"/>
      <c r="B7" s="198"/>
      <c r="C7" s="198"/>
      <c r="D7" s="209"/>
      <c r="E7" s="198"/>
      <c r="F7" s="198"/>
      <c r="G7" s="198"/>
      <c r="H7" s="198"/>
      <c r="I7" s="198"/>
      <c r="J7" s="198"/>
      <c r="K7" s="198"/>
      <c r="L7" s="198"/>
      <c r="M7" s="213"/>
      <c r="N7" s="213"/>
      <c r="O7" s="213"/>
      <c r="P7" s="213"/>
      <c r="Q7" s="213"/>
      <c r="R7" s="198"/>
      <c r="S7" s="198"/>
    </row>
    <row r="8" spans="1:20" s="5" customFormat="1" ht="12.75">
      <c r="A8" s="250"/>
      <c r="B8" s="260" t="s">
        <v>40</v>
      </c>
      <c r="C8" s="261"/>
      <c r="D8" s="515" t="s">
        <v>236</v>
      </c>
      <c r="E8" s="514" t="s">
        <v>235</v>
      </c>
      <c r="F8" s="261"/>
      <c r="G8" s="261"/>
      <c r="H8" s="514" t="s">
        <v>322</v>
      </c>
      <c r="I8" s="514"/>
      <c r="J8" s="514"/>
      <c r="K8" s="257"/>
      <c r="L8" s="257"/>
      <c r="M8" s="264"/>
      <c r="N8" s="265" t="s">
        <v>323</v>
      </c>
      <c r="O8" s="266"/>
      <c r="P8" s="267" t="s">
        <v>226</v>
      </c>
      <c r="Q8" s="262"/>
      <c r="R8" s="517" t="s">
        <v>149</v>
      </c>
      <c r="S8" s="250"/>
      <c r="T8" s="304"/>
    </row>
    <row r="9" spans="1:19" ht="13.5" customHeight="1">
      <c r="A9" s="198"/>
      <c r="B9" s="268" t="s">
        <v>205</v>
      </c>
      <c r="C9" s="269"/>
      <c r="D9" s="270" t="s">
        <v>75</v>
      </c>
      <c r="E9" s="132" t="s">
        <v>122</v>
      </c>
      <c r="F9" s="270"/>
      <c r="G9" s="270"/>
      <c r="H9" s="134" t="s">
        <v>21</v>
      </c>
      <c r="I9" s="134"/>
      <c r="J9" s="134"/>
      <c r="K9" s="134"/>
      <c r="L9" s="134"/>
      <c r="M9" s="133"/>
      <c r="N9" s="162">
        <f>0.1*C2</f>
        <v>0.194</v>
      </c>
      <c r="O9" s="271" t="s">
        <v>71</v>
      </c>
      <c r="P9" s="489">
        <f>0.01*C2</f>
        <v>0.0194</v>
      </c>
      <c r="Q9" s="163" t="s">
        <v>72</v>
      </c>
      <c r="R9" s="272" t="s">
        <v>289</v>
      </c>
      <c r="S9" s="198"/>
    </row>
    <row r="10" spans="1:19" ht="13.5" customHeight="1">
      <c r="A10" s="198"/>
      <c r="B10" s="273" t="s">
        <v>205</v>
      </c>
      <c r="C10" s="274"/>
      <c r="D10" s="275" t="s">
        <v>290</v>
      </c>
      <c r="E10" s="180" t="s">
        <v>371</v>
      </c>
      <c r="F10" s="275"/>
      <c r="G10" s="275"/>
      <c r="H10" s="180" t="s">
        <v>370</v>
      </c>
      <c r="I10" s="180"/>
      <c r="J10" s="180"/>
      <c r="K10" s="180"/>
      <c r="L10" s="180"/>
      <c r="M10" s="276"/>
      <c r="N10" s="277">
        <f>0.3*C2</f>
        <v>0.582</v>
      </c>
      <c r="O10" s="278" t="s">
        <v>71</v>
      </c>
      <c r="P10" s="279">
        <f>0.03*C2</f>
        <v>0.058199999999999995</v>
      </c>
      <c r="Q10" s="152" t="s">
        <v>72</v>
      </c>
      <c r="R10" s="280" t="s">
        <v>343</v>
      </c>
      <c r="S10" s="198"/>
    </row>
    <row r="11" spans="1:54" s="2" customFormat="1" ht="13.5" customHeight="1">
      <c r="A11" s="197"/>
      <c r="B11" s="281" t="s">
        <v>206</v>
      </c>
      <c r="C11" s="282"/>
      <c r="D11" s="180" t="s">
        <v>75</v>
      </c>
      <c r="E11" s="180" t="s">
        <v>78</v>
      </c>
      <c r="F11" s="180"/>
      <c r="G11" s="180"/>
      <c r="H11" s="182" t="s">
        <v>58</v>
      </c>
      <c r="I11" s="182"/>
      <c r="J11" s="182"/>
      <c r="K11" s="182"/>
      <c r="L11" s="182"/>
      <c r="M11" s="182"/>
      <c r="N11" s="283">
        <f>2*C2</f>
        <v>3.88</v>
      </c>
      <c r="O11" s="278" t="s">
        <v>71</v>
      </c>
      <c r="P11" s="284">
        <f>1*C2</f>
        <v>1.94</v>
      </c>
      <c r="Q11" s="152" t="s">
        <v>291</v>
      </c>
      <c r="R11" s="285" t="s">
        <v>292</v>
      </c>
      <c r="S11" s="197"/>
      <c r="T11" s="304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</row>
    <row r="12" spans="1:54" s="2" customFormat="1" ht="13.5" customHeight="1">
      <c r="A12" s="197"/>
      <c r="B12" s="281" t="s">
        <v>55</v>
      </c>
      <c r="C12" s="282"/>
      <c r="D12" s="182" t="s">
        <v>125</v>
      </c>
      <c r="E12" s="180" t="s">
        <v>180</v>
      </c>
      <c r="F12" s="180"/>
      <c r="G12" s="180"/>
      <c r="H12" s="180" t="s">
        <v>207</v>
      </c>
      <c r="I12" s="180"/>
      <c r="J12" s="180"/>
      <c r="K12" s="182"/>
      <c r="L12" s="182"/>
      <c r="M12" s="182"/>
      <c r="N12" s="277">
        <f>0.25*C2</f>
        <v>0.485</v>
      </c>
      <c r="O12" s="278" t="s">
        <v>71</v>
      </c>
      <c r="P12" s="279">
        <f>0.1*C2</f>
        <v>0.194</v>
      </c>
      <c r="Q12" s="152" t="s">
        <v>72</v>
      </c>
      <c r="R12" s="285" t="s">
        <v>413</v>
      </c>
      <c r="S12" s="197"/>
      <c r="T12" s="304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</row>
    <row r="13" spans="1:54" s="2" customFormat="1" ht="3.75" customHeight="1">
      <c r="A13" s="197"/>
      <c r="B13" s="223"/>
      <c r="C13" s="224"/>
      <c r="D13" s="225"/>
      <c r="E13" s="217"/>
      <c r="F13" s="217"/>
      <c r="G13" s="217"/>
      <c r="H13" s="217"/>
      <c r="I13" s="217"/>
      <c r="J13" s="217"/>
      <c r="K13" s="225"/>
      <c r="L13" s="225"/>
      <c r="M13" s="225"/>
      <c r="N13" s="219"/>
      <c r="O13" s="220"/>
      <c r="P13" s="221"/>
      <c r="Q13" s="222"/>
      <c r="R13" s="226"/>
      <c r="S13" s="197"/>
      <c r="T13" s="304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</row>
    <row r="14" spans="1:19" ht="13.5" customHeight="1">
      <c r="A14" s="198"/>
      <c r="B14" s="273" t="s">
        <v>415</v>
      </c>
      <c r="C14" s="274"/>
      <c r="D14" s="275" t="s">
        <v>75</v>
      </c>
      <c r="E14" s="180" t="s">
        <v>49</v>
      </c>
      <c r="F14" s="275"/>
      <c r="G14" s="275"/>
      <c r="H14" s="180" t="s">
        <v>208</v>
      </c>
      <c r="I14" s="180"/>
      <c r="J14" s="180"/>
      <c r="K14" s="180"/>
      <c r="L14" s="180"/>
      <c r="M14" s="276"/>
      <c r="N14" s="283">
        <f>1*C2</f>
        <v>1.94</v>
      </c>
      <c r="O14" s="278" t="s">
        <v>71</v>
      </c>
      <c r="P14" s="181">
        <f>100*C2</f>
        <v>194</v>
      </c>
      <c r="Q14" s="152" t="s">
        <v>72</v>
      </c>
      <c r="R14" s="280" t="s">
        <v>362</v>
      </c>
      <c r="S14" s="198"/>
    </row>
    <row r="15" spans="1:54" s="2" customFormat="1" ht="13.5" customHeight="1">
      <c r="A15" s="197"/>
      <c r="B15" s="273" t="s">
        <v>148</v>
      </c>
      <c r="C15" s="274"/>
      <c r="D15" s="275" t="s">
        <v>75</v>
      </c>
      <c r="E15" s="180" t="s">
        <v>123</v>
      </c>
      <c r="F15" s="275"/>
      <c r="G15" s="275"/>
      <c r="H15" s="180" t="s">
        <v>84</v>
      </c>
      <c r="I15" s="180"/>
      <c r="J15" s="180"/>
      <c r="K15" s="180"/>
      <c r="L15" s="180"/>
      <c r="M15" s="276"/>
      <c r="N15" s="286">
        <f>10*C2</f>
        <v>19.4</v>
      </c>
      <c r="O15" s="278" t="s">
        <v>71</v>
      </c>
      <c r="P15" s="279"/>
      <c r="Q15" s="152"/>
      <c r="R15" s="280" t="s">
        <v>124</v>
      </c>
      <c r="S15" s="197"/>
      <c r="T15" s="304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</row>
    <row r="16" spans="1:19" ht="4.5" customHeight="1">
      <c r="A16" s="198"/>
      <c r="B16" s="227"/>
      <c r="C16" s="227"/>
      <c r="D16" s="187"/>
      <c r="E16" s="228"/>
      <c r="F16" s="187"/>
      <c r="G16" s="187"/>
      <c r="H16" s="228"/>
      <c r="I16" s="228"/>
      <c r="J16" s="228"/>
      <c r="K16" s="228"/>
      <c r="L16" s="228"/>
      <c r="M16" s="229"/>
      <c r="N16" s="230"/>
      <c r="O16" s="231"/>
      <c r="P16" s="232"/>
      <c r="Q16" s="233"/>
      <c r="R16" s="234"/>
      <c r="S16" s="198"/>
    </row>
    <row r="17" spans="1:19" ht="4.5" customHeight="1">
      <c r="A17" s="198"/>
      <c r="B17" s="235"/>
      <c r="C17" s="235"/>
      <c r="D17" s="236"/>
      <c r="E17" s="236"/>
      <c r="F17" s="198"/>
      <c r="G17" s="236"/>
      <c r="H17" s="237"/>
      <c r="I17" s="237"/>
      <c r="J17" s="237"/>
      <c r="K17" s="237"/>
      <c r="L17" s="237"/>
      <c r="M17" s="198"/>
      <c r="N17" s="196"/>
      <c r="O17" s="238"/>
      <c r="P17" s="198"/>
      <c r="Q17" s="239"/>
      <c r="R17" s="234"/>
      <c r="S17" s="198"/>
    </row>
    <row r="18" spans="1:20" s="5" customFormat="1" ht="12.75">
      <c r="A18" s="250"/>
      <c r="B18" s="260" t="s">
        <v>52</v>
      </c>
      <c r="C18" s="261"/>
      <c r="D18" s="515" t="s">
        <v>236</v>
      </c>
      <c r="E18" s="514" t="s">
        <v>235</v>
      </c>
      <c r="F18" s="263"/>
      <c r="G18" s="261"/>
      <c r="H18" s="514" t="s">
        <v>322</v>
      </c>
      <c r="I18" s="514"/>
      <c r="J18" s="514"/>
      <c r="K18" s="257"/>
      <c r="L18" s="257"/>
      <c r="M18" s="264"/>
      <c r="N18" s="265" t="s">
        <v>323</v>
      </c>
      <c r="O18" s="266"/>
      <c r="P18" s="267" t="s">
        <v>287</v>
      </c>
      <c r="Q18" s="262"/>
      <c r="R18" s="517" t="s">
        <v>149</v>
      </c>
      <c r="S18" s="250"/>
      <c r="T18" s="304"/>
    </row>
    <row r="19" spans="1:54" s="2" customFormat="1" ht="13.5" customHeight="1">
      <c r="A19" s="197"/>
      <c r="B19" s="287" t="s">
        <v>391</v>
      </c>
      <c r="C19" s="288"/>
      <c r="D19" s="134" t="s">
        <v>102</v>
      </c>
      <c r="E19" s="132" t="s">
        <v>354</v>
      </c>
      <c r="F19" s="132"/>
      <c r="G19" s="132"/>
      <c r="H19" s="133" t="s">
        <v>77</v>
      </c>
      <c r="I19" s="133"/>
      <c r="J19" s="133"/>
      <c r="K19" s="132"/>
      <c r="L19" s="132"/>
      <c r="M19" s="134"/>
      <c r="N19" s="162">
        <f>0.2*C2</f>
        <v>0.388</v>
      </c>
      <c r="O19" s="271" t="s">
        <v>71</v>
      </c>
      <c r="P19" s="289">
        <f>0.1*C2</f>
        <v>0.194</v>
      </c>
      <c r="Q19" s="163" t="s">
        <v>72</v>
      </c>
      <c r="R19" s="290" t="s">
        <v>73</v>
      </c>
      <c r="S19" s="197"/>
      <c r="T19" s="304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</row>
    <row r="20" spans="1:54" s="2" customFormat="1" ht="13.5" customHeight="1">
      <c r="A20" s="197"/>
      <c r="B20" s="291" t="s">
        <v>74</v>
      </c>
      <c r="C20" s="141"/>
      <c r="D20" s="130" t="s">
        <v>75</v>
      </c>
      <c r="E20" s="128" t="s">
        <v>266</v>
      </c>
      <c r="F20" s="128"/>
      <c r="G20" s="128"/>
      <c r="H20" s="129" t="s">
        <v>204</v>
      </c>
      <c r="I20" s="129"/>
      <c r="J20" s="129"/>
      <c r="K20" s="128"/>
      <c r="L20" s="128"/>
      <c r="M20" s="130"/>
      <c r="N20" s="292">
        <f>0.4*C2</f>
        <v>0.776</v>
      </c>
      <c r="O20" s="293" t="s">
        <v>71</v>
      </c>
      <c r="P20" s="294">
        <f>2*C2</f>
        <v>3.88</v>
      </c>
      <c r="Q20" s="160" t="s">
        <v>161</v>
      </c>
      <c r="R20" s="295" t="s">
        <v>162</v>
      </c>
      <c r="S20" s="197"/>
      <c r="T20" s="304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</row>
    <row r="21" spans="1:54" s="2" customFormat="1" ht="13.5" customHeight="1">
      <c r="A21" s="197"/>
      <c r="B21" s="296" t="s">
        <v>330</v>
      </c>
      <c r="C21" s="297"/>
      <c r="D21" s="180" t="s">
        <v>163</v>
      </c>
      <c r="E21" s="180" t="s">
        <v>51</v>
      </c>
      <c r="F21" s="180"/>
      <c r="G21" s="180"/>
      <c r="H21" s="276" t="s">
        <v>392</v>
      </c>
      <c r="I21" s="276"/>
      <c r="J21" s="276"/>
      <c r="K21" s="180"/>
      <c r="L21" s="180"/>
      <c r="M21" s="182"/>
      <c r="N21" s="277">
        <f>0.2*C2</f>
        <v>0.388</v>
      </c>
      <c r="O21" s="278" t="s">
        <v>71</v>
      </c>
      <c r="P21" s="298">
        <f>0.1*C2</f>
        <v>0.194</v>
      </c>
      <c r="Q21" s="152" t="s">
        <v>72</v>
      </c>
      <c r="R21" s="285" t="s">
        <v>73</v>
      </c>
      <c r="S21" s="197"/>
      <c r="T21" s="304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</row>
    <row r="22" spans="1:54" s="2" customFormat="1" ht="13.5" customHeight="1">
      <c r="A22" s="197"/>
      <c r="B22" s="287" t="s">
        <v>181</v>
      </c>
      <c r="C22" s="288"/>
      <c r="D22" s="134" t="s">
        <v>115</v>
      </c>
      <c r="E22" s="132" t="s">
        <v>288</v>
      </c>
      <c r="F22" s="132"/>
      <c r="G22" s="132"/>
      <c r="H22" s="133" t="s">
        <v>393</v>
      </c>
      <c r="I22" s="133"/>
      <c r="J22" s="133"/>
      <c r="K22" s="132"/>
      <c r="L22" s="132"/>
      <c r="M22" s="134"/>
      <c r="N22" s="162">
        <f>0.2*C2</f>
        <v>0.388</v>
      </c>
      <c r="O22" s="271" t="s">
        <v>71</v>
      </c>
      <c r="P22" s="289">
        <f>0.2*C2</f>
        <v>0.388</v>
      </c>
      <c r="Q22" s="163" t="s">
        <v>72</v>
      </c>
      <c r="R22" s="290" t="s">
        <v>116</v>
      </c>
      <c r="S22" s="197"/>
      <c r="T22" s="304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</row>
    <row r="23" spans="1:54" s="2" customFormat="1" ht="13.5" customHeight="1">
      <c r="A23" s="197"/>
      <c r="B23" s="179" t="s">
        <v>103</v>
      </c>
      <c r="C23" s="299"/>
      <c r="D23" s="182" t="s">
        <v>353</v>
      </c>
      <c r="E23" s="182" t="s">
        <v>195</v>
      </c>
      <c r="F23" s="182"/>
      <c r="G23" s="182"/>
      <c r="H23" s="276" t="s">
        <v>36</v>
      </c>
      <c r="I23" s="276"/>
      <c r="J23" s="276"/>
      <c r="K23" s="180"/>
      <c r="L23" s="180"/>
      <c r="M23" s="182"/>
      <c r="N23" s="277">
        <f>0.5*C2/C2</f>
        <v>0.5</v>
      </c>
      <c r="O23" s="278" t="s">
        <v>71</v>
      </c>
      <c r="P23" s="298">
        <f>0.1*C2/C2</f>
        <v>0.1</v>
      </c>
      <c r="Q23" s="152" t="s">
        <v>72</v>
      </c>
      <c r="R23" s="300" t="s">
        <v>329</v>
      </c>
      <c r="S23" s="197"/>
      <c r="T23" s="304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</row>
    <row r="24" spans="1:54" s="2" customFormat="1" ht="13.5" customHeight="1">
      <c r="A24" s="197"/>
      <c r="B24" s="296" t="s">
        <v>304</v>
      </c>
      <c r="C24" s="297"/>
      <c r="D24" s="180"/>
      <c r="E24" s="180" t="s">
        <v>197</v>
      </c>
      <c r="F24" s="180"/>
      <c r="G24" s="180"/>
      <c r="H24" s="276" t="s">
        <v>275</v>
      </c>
      <c r="I24" s="276"/>
      <c r="J24" s="276"/>
      <c r="K24" s="180"/>
      <c r="L24" s="180"/>
      <c r="M24" s="182"/>
      <c r="N24" s="277">
        <f>0.2*C2</f>
        <v>0.388</v>
      </c>
      <c r="O24" s="278" t="s">
        <v>71</v>
      </c>
      <c r="P24" s="298">
        <f>2*C2</f>
        <v>3.88</v>
      </c>
      <c r="Q24" s="152" t="s">
        <v>72</v>
      </c>
      <c r="R24" s="285" t="s">
        <v>54</v>
      </c>
      <c r="S24" s="197"/>
      <c r="T24" s="304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</row>
    <row r="25" spans="1:54" s="2" customFormat="1" ht="13.5" customHeight="1">
      <c r="A25" s="197"/>
      <c r="B25" s="281" t="s">
        <v>342</v>
      </c>
      <c r="C25" s="282"/>
      <c r="D25" s="180" t="s">
        <v>75</v>
      </c>
      <c r="E25" s="180" t="s">
        <v>151</v>
      </c>
      <c r="F25" s="180"/>
      <c r="G25" s="180"/>
      <c r="H25" s="276" t="s">
        <v>270</v>
      </c>
      <c r="I25" s="276"/>
      <c r="J25" s="276"/>
      <c r="K25" s="180"/>
      <c r="L25" s="180"/>
      <c r="M25" s="182"/>
      <c r="N25" s="277">
        <f>0.25*C2</f>
        <v>0.485</v>
      </c>
      <c r="O25" s="278" t="s">
        <v>71</v>
      </c>
      <c r="P25" s="298">
        <f>0.1*C2</f>
        <v>0.194</v>
      </c>
      <c r="Q25" s="152" t="s">
        <v>72</v>
      </c>
      <c r="R25" s="285" t="s">
        <v>73</v>
      </c>
      <c r="S25" s="197"/>
      <c r="T25" s="304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</row>
    <row r="26" spans="1:54" s="2" customFormat="1" ht="13.5" customHeight="1">
      <c r="A26" s="197"/>
      <c r="B26" s="301" t="s">
        <v>105</v>
      </c>
      <c r="C26" s="302"/>
      <c r="D26" s="180"/>
      <c r="E26" s="180" t="s">
        <v>151</v>
      </c>
      <c r="F26" s="180"/>
      <c r="G26" s="180"/>
      <c r="H26" s="276" t="s">
        <v>76</v>
      </c>
      <c r="I26" s="276"/>
      <c r="J26" s="276"/>
      <c r="K26" s="180"/>
      <c r="L26" s="180"/>
      <c r="M26" s="182"/>
      <c r="N26" s="277">
        <f>0.2*C2</f>
        <v>0.388</v>
      </c>
      <c r="O26" s="278" t="s">
        <v>71</v>
      </c>
      <c r="P26" s="298">
        <f>0.1*C2</f>
        <v>0.194</v>
      </c>
      <c r="Q26" s="152" t="s">
        <v>72</v>
      </c>
      <c r="R26" s="285" t="s">
        <v>73</v>
      </c>
      <c r="S26" s="197"/>
      <c r="T26" s="304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</row>
    <row r="27" spans="1:54" s="10" customFormat="1" ht="6" customHeight="1">
      <c r="A27" s="228"/>
      <c r="B27" s="215"/>
      <c r="C27" s="215"/>
      <c r="D27" s="216"/>
      <c r="E27" s="217"/>
      <c r="F27" s="216"/>
      <c r="G27" s="216"/>
      <c r="H27" s="217"/>
      <c r="I27" s="217"/>
      <c r="J27" s="217"/>
      <c r="K27" s="217"/>
      <c r="L27" s="217"/>
      <c r="M27" s="218"/>
      <c r="N27" s="243"/>
      <c r="O27" s="244"/>
      <c r="P27" s="221"/>
      <c r="Q27" s="222"/>
      <c r="R27" s="218"/>
      <c r="S27" s="228"/>
      <c r="T27" s="304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</row>
    <row r="28" spans="1:54" s="2" customFormat="1" ht="13.5" customHeight="1">
      <c r="A28" s="197"/>
      <c r="B28" s="305" t="s">
        <v>210</v>
      </c>
      <c r="C28" s="306" t="s">
        <v>290</v>
      </c>
      <c r="D28" s="307" t="s">
        <v>83</v>
      </c>
      <c r="E28" s="129"/>
      <c r="F28" s="308"/>
      <c r="G28" s="308"/>
      <c r="H28" s="128"/>
      <c r="I28" s="128"/>
      <c r="J28" s="128"/>
      <c r="K28" s="128"/>
      <c r="L28" s="128"/>
      <c r="M28" s="309"/>
      <c r="N28" s="310">
        <f>4*C2</f>
        <v>7.76</v>
      </c>
      <c r="O28" s="293" t="s">
        <v>71</v>
      </c>
      <c r="P28" s="311"/>
      <c r="Q28" s="160"/>
      <c r="R28" s="280" t="s">
        <v>352</v>
      </c>
      <c r="S28" s="197"/>
      <c r="T28" s="304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</row>
    <row r="29" spans="1:54" s="2" customFormat="1" ht="13.5" customHeight="1">
      <c r="A29" s="197"/>
      <c r="B29" s="273" t="s">
        <v>211</v>
      </c>
      <c r="C29" s="306" t="s">
        <v>290</v>
      </c>
      <c r="D29" s="312" t="s">
        <v>39</v>
      </c>
      <c r="E29" s="276"/>
      <c r="F29" s="275"/>
      <c r="G29" s="275"/>
      <c r="H29" s="180"/>
      <c r="I29" s="180"/>
      <c r="J29" s="180"/>
      <c r="K29" s="180"/>
      <c r="L29" s="180"/>
      <c r="M29" s="313"/>
      <c r="N29" s="283">
        <f>2.5*C2</f>
        <v>4.85</v>
      </c>
      <c r="O29" s="278" t="s">
        <v>71</v>
      </c>
      <c r="P29" s="528">
        <f>200*C2</f>
        <v>388</v>
      </c>
      <c r="Q29" s="152" t="s">
        <v>72</v>
      </c>
      <c r="R29" s="280" t="s">
        <v>224</v>
      </c>
      <c r="S29" s="197"/>
      <c r="T29" s="304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</row>
    <row r="30" spans="1:54" s="10" customFormat="1" ht="13.5" customHeight="1">
      <c r="A30" s="228"/>
      <c r="B30" s="215"/>
      <c r="C30" s="215"/>
      <c r="D30" s="246"/>
      <c r="E30" s="218"/>
      <c r="F30" s="216"/>
      <c r="G30" s="216"/>
      <c r="H30" s="228"/>
      <c r="I30" s="228"/>
      <c r="J30" s="228"/>
      <c r="K30" s="240"/>
      <c r="L30" s="240"/>
      <c r="M30" s="245"/>
      <c r="N30" s="247"/>
      <c r="O30" s="248"/>
      <c r="P30" s="249"/>
      <c r="Q30" s="242"/>
      <c r="R30" s="241"/>
      <c r="S30" s="228"/>
      <c r="T30" s="304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</row>
    <row r="31" spans="1:20" s="5" customFormat="1" ht="12.75" customHeight="1">
      <c r="A31" s="250"/>
      <c r="B31" s="256"/>
      <c r="C31" s="257"/>
      <c r="D31" s="516" t="s">
        <v>127</v>
      </c>
      <c r="E31" s="257"/>
      <c r="F31" s="257"/>
      <c r="G31" s="258"/>
      <c r="H31" s="229"/>
      <c r="I31" s="540" t="s">
        <v>351</v>
      </c>
      <c r="J31" s="259"/>
      <c r="K31" s="259"/>
      <c r="L31" s="259"/>
      <c r="M31" s="259"/>
      <c r="N31" s="259"/>
      <c r="O31" s="259"/>
      <c r="P31" s="982" t="s">
        <v>280</v>
      </c>
      <c r="Q31" s="983"/>
      <c r="R31" s="984"/>
      <c r="S31" s="250"/>
      <c r="T31" s="304"/>
    </row>
    <row r="32" spans="1:20" s="5" customFormat="1" ht="4.5" customHeight="1">
      <c r="A32" s="250"/>
      <c r="B32" s="19"/>
      <c r="C32" s="20"/>
      <c r="D32" s="20"/>
      <c r="E32" s="20"/>
      <c r="F32" s="20"/>
      <c r="G32" s="21"/>
      <c r="H32" s="229"/>
      <c r="I32" s="488"/>
      <c r="J32" s="339"/>
      <c r="L32" s="20"/>
      <c r="M32" s="20"/>
      <c r="N32" s="20"/>
      <c r="O32" s="20"/>
      <c r="P32" s="985"/>
      <c r="Q32" s="985"/>
      <c r="R32" s="986"/>
      <c r="S32" s="250"/>
      <c r="T32" s="304"/>
    </row>
    <row r="33" spans="1:20" s="5" customFormat="1" ht="12.75" customHeight="1">
      <c r="A33" s="250"/>
      <c r="B33" s="69"/>
      <c r="C33" s="314" t="s">
        <v>177</v>
      </c>
      <c r="D33" s="315">
        <f>IF(C2&lt;=6,IF(C2&lt;=1.4,3*C2+9-((1-C2)/4)*10,3*C2+9),"")</f>
        <v>14.82</v>
      </c>
      <c r="E33" s="332" t="s">
        <v>46</v>
      </c>
      <c r="F33" s="78"/>
      <c r="G33" s="316"/>
      <c r="H33" s="250"/>
      <c r="I33" s="542" t="s">
        <v>340</v>
      </c>
      <c r="J33" s="544"/>
      <c r="L33" s="339"/>
      <c r="N33" s="339"/>
      <c r="O33" s="24"/>
      <c r="R33" s="22" t="s">
        <v>178</v>
      </c>
      <c r="S33" s="250"/>
      <c r="T33" s="304"/>
    </row>
    <row r="34" spans="1:19" ht="12.75" customHeight="1">
      <c r="A34" s="198"/>
      <c r="B34" s="317"/>
      <c r="C34" s="24"/>
      <c r="D34" s="472" t="s">
        <v>231</v>
      </c>
      <c r="E34" s="5"/>
      <c r="F34" s="5"/>
      <c r="G34" s="25"/>
      <c r="H34" s="234"/>
      <c r="I34" s="338"/>
      <c r="J34" s="545"/>
      <c r="L34" s="579">
        <v>40</v>
      </c>
      <c r="M34" s="578" t="s">
        <v>64</v>
      </c>
      <c r="N34" s="340">
        <f>P34/24</f>
        <v>3.233333333333333</v>
      </c>
      <c r="O34" s="559" t="s">
        <v>227</v>
      </c>
      <c r="P34" s="561">
        <f>C2*40</f>
        <v>77.6</v>
      </c>
      <c r="Q34" s="164" t="s">
        <v>228</v>
      </c>
      <c r="R34" s="337">
        <v>2.78</v>
      </c>
      <c r="S34" s="198"/>
    </row>
    <row r="35" spans="1:19" ht="12.75" customHeight="1">
      <c r="A35" s="198"/>
      <c r="B35" s="317"/>
      <c r="C35" s="303"/>
      <c r="D35" s="318"/>
      <c r="E35" s="303"/>
      <c r="F35" s="303"/>
      <c r="G35" s="319"/>
      <c r="H35" s="234"/>
      <c r="I35" s="342"/>
      <c r="J35" s="546"/>
      <c r="L35" s="579">
        <v>60</v>
      </c>
      <c r="M35" s="578" t="s">
        <v>64</v>
      </c>
      <c r="N35" s="340">
        <f>P35/24</f>
        <v>4.85</v>
      </c>
      <c r="O35" s="559" t="s">
        <v>227</v>
      </c>
      <c r="P35" s="561">
        <f>C2*60</f>
        <v>116.39999999999999</v>
      </c>
      <c r="Q35" s="164" t="s">
        <v>228</v>
      </c>
      <c r="R35" s="337">
        <v>4.17</v>
      </c>
      <c r="S35" s="198"/>
    </row>
    <row r="36" spans="1:19" ht="12.75" customHeight="1">
      <c r="A36" s="198"/>
      <c r="B36" s="317"/>
      <c r="C36" s="314" t="s">
        <v>302</v>
      </c>
      <c r="D36" s="315">
        <f>IF(C2&lt;=6,(((C2*3)+9)/2)+1,"")</f>
        <v>8.41</v>
      </c>
      <c r="E36" s="332" t="s">
        <v>46</v>
      </c>
      <c r="F36" s="320"/>
      <c r="G36" s="316"/>
      <c r="H36" s="234"/>
      <c r="I36" s="338"/>
      <c r="J36" s="545"/>
      <c r="L36" s="579">
        <v>80</v>
      </c>
      <c r="M36" s="578" t="s">
        <v>64</v>
      </c>
      <c r="N36" s="340">
        <f>P36/24</f>
        <v>6.466666666666666</v>
      </c>
      <c r="O36" s="559" t="s">
        <v>227</v>
      </c>
      <c r="P36" s="561">
        <f>C2*80</f>
        <v>155.2</v>
      </c>
      <c r="Q36" s="164" t="s">
        <v>228</v>
      </c>
      <c r="R36" s="337">
        <v>5.56</v>
      </c>
      <c r="S36" s="198"/>
    </row>
    <row r="37" spans="1:19" ht="13.5" customHeight="1">
      <c r="A37" s="198"/>
      <c r="B37" s="321"/>
      <c r="C37" s="322"/>
      <c r="D37" s="471" t="s">
        <v>232</v>
      </c>
      <c r="E37" s="270"/>
      <c r="F37" s="270"/>
      <c r="G37" s="323"/>
      <c r="H37" s="234"/>
      <c r="I37" s="529"/>
      <c r="J37" s="24"/>
      <c r="L37" s="579">
        <v>100</v>
      </c>
      <c r="M37" s="578" t="s">
        <v>64</v>
      </c>
      <c r="N37" s="340">
        <f>P37/24</f>
        <v>8.083333333333334</v>
      </c>
      <c r="O37" s="559" t="s">
        <v>227</v>
      </c>
      <c r="P37" s="561">
        <f>C2*100</f>
        <v>194</v>
      </c>
      <c r="Q37" s="164" t="s">
        <v>228</v>
      </c>
      <c r="R37" s="337">
        <v>6.94</v>
      </c>
      <c r="S37" s="198"/>
    </row>
    <row r="38" spans="1:19" ht="9" customHeight="1">
      <c r="A38" s="198"/>
      <c r="B38" s="251"/>
      <c r="C38" s="187"/>
      <c r="D38" s="187"/>
      <c r="E38" s="187"/>
      <c r="F38" s="187"/>
      <c r="G38" s="252"/>
      <c r="H38" s="234"/>
      <c r="I38" s="531"/>
      <c r="J38" s="234"/>
      <c r="K38" s="187"/>
      <c r="L38" s="187"/>
      <c r="M38" s="187"/>
      <c r="N38" s="187"/>
      <c r="O38" s="560"/>
      <c r="P38" s="191"/>
      <c r="Q38" s="253"/>
      <c r="R38" s="252"/>
      <c r="S38" s="198"/>
    </row>
    <row r="39" spans="1:54" s="1" customFormat="1" ht="15.75" customHeight="1">
      <c r="A39" s="187"/>
      <c r="B39" s="324"/>
      <c r="C39" s="159"/>
      <c r="D39" s="325" t="s">
        <v>6</v>
      </c>
      <c r="E39" s="326" t="str">
        <f>IF(C2&lt;0.75,"2,0",IF(C2&lt;1.25,"2,5",IF(C2&lt;=2,"3,0",IF(C2&lt;=3,"3,5",IF(C2&lt;12,"4,0",IF(C2&lt;16,"4,5",IF(C2&lt;20,"5,0",IF(C2&lt;24,"5,5",""))))))))</f>
        <v>3,0</v>
      </c>
      <c r="F39" s="327" t="s">
        <v>7</v>
      </c>
      <c r="G39" s="328"/>
      <c r="H39" s="253"/>
      <c r="I39" s="556" t="s">
        <v>341</v>
      </c>
      <c r="J39" s="547"/>
      <c r="L39" s="538"/>
      <c r="M39" s="537"/>
      <c r="N39" s="538"/>
      <c r="O39" s="559"/>
      <c r="P39" s="562"/>
      <c r="Q39" s="164"/>
      <c r="R39" s="539"/>
      <c r="S39" s="187"/>
      <c r="T39" s="304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</row>
    <row r="40" spans="1:54" s="1" customFormat="1" ht="3.75" customHeight="1">
      <c r="A40" s="187"/>
      <c r="B40" s="317"/>
      <c r="C40" s="303"/>
      <c r="D40" s="303"/>
      <c r="E40" s="303"/>
      <c r="F40" s="303"/>
      <c r="G40" s="319"/>
      <c r="H40" s="187"/>
      <c r="I40" s="541"/>
      <c r="J40" s="547"/>
      <c r="L40" s="341"/>
      <c r="M40" s="537"/>
      <c r="N40" s="538"/>
      <c r="O40" s="559"/>
      <c r="P40" s="562"/>
      <c r="Q40" s="164"/>
      <c r="R40" s="539"/>
      <c r="S40" s="187"/>
      <c r="T40" s="304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</row>
    <row r="41" spans="1:54" s="1" customFormat="1" ht="14.25">
      <c r="A41" s="187"/>
      <c r="B41" s="329"/>
      <c r="C41" s="165"/>
      <c r="D41" s="330" t="s">
        <v>314</v>
      </c>
      <c r="E41" s="331" t="str">
        <f>IF(C2&lt;=0.7,"5 - 6",IF(C2&lt;1,"6,5 - 7",IF(C2&lt;2,"7 - 8",IF(C2&lt;3,"8 - 9",IF(C2&lt;3.5,"9,5",IF(C2&lt;6,"10",IF(C2&lt;10,"11",IF(C2&lt;12,"12",""))))))))</f>
        <v>7 - 8</v>
      </c>
      <c r="F41" s="332" t="s">
        <v>46</v>
      </c>
      <c r="G41" s="319"/>
      <c r="H41" s="187"/>
      <c r="I41" s="536" t="s">
        <v>338</v>
      </c>
      <c r="J41" s="555">
        <v>13</v>
      </c>
      <c r="K41" s="550" t="s">
        <v>339</v>
      </c>
      <c r="L41" s="555">
        <v>95</v>
      </c>
      <c r="M41" s="557" t="s">
        <v>117</v>
      </c>
      <c r="N41" s="558">
        <f>C2*L41/24</f>
        <v>7.679166666666666</v>
      </c>
      <c r="O41" s="559" t="s">
        <v>227</v>
      </c>
      <c r="P41" s="563">
        <f>C2*L41</f>
        <v>184.29999999999998</v>
      </c>
      <c r="Q41" s="164" t="s">
        <v>228</v>
      </c>
      <c r="R41" s="564">
        <f>((P41*((J41*1000)/100)/(24*60))/C2)</f>
        <v>8.576388888888888</v>
      </c>
      <c r="S41" s="187"/>
      <c r="T41" s="304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</row>
    <row r="42" spans="1:54" s="10" customFormat="1" ht="14.25" customHeight="1">
      <c r="A42" s="228"/>
      <c r="B42" s="329"/>
      <c r="C42" s="165"/>
      <c r="D42" s="330" t="s">
        <v>315</v>
      </c>
      <c r="E42" s="331" t="str">
        <f>IF(C2&lt;1,"7",IF(C2&lt;1.5,"7,5",IF(C2&lt;2,"8",IF(C2&lt;2.5,"9",IF(C2&lt;3,"10",IF(C2&lt;3.5,"10,7",IF(C2&lt;4,"11,5",IF(C2&lt;4.5,"12","13 ó +"))))))))</f>
        <v>8</v>
      </c>
      <c r="F42" s="137" t="s">
        <v>46</v>
      </c>
      <c r="G42" s="140"/>
      <c r="H42" s="228"/>
      <c r="I42" s="536"/>
      <c r="J42" s="548"/>
      <c r="K42" s="1"/>
      <c r="R42" s="539"/>
      <c r="S42" s="228"/>
      <c r="T42" s="304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</row>
    <row r="43" spans="1:54" s="10" customFormat="1" ht="6" customHeight="1">
      <c r="A43" s="228"/>
      <c r="B43" s="333"/>
      <c r="C43" s="334"/>
      <c r="D43" s="288"/>
      <c r="E43" s="335"/>
      <c r="F43" s="336"/>
      <c r="G43" s="136"/>
      <c r="H43" s="228"/>
      <c r="I43" s="530"/>
      <c r="J43" s="549"/>
      <c r="K43" s="534"/>
      <c r="L43" s="551"/>
      <c r="M43" s="532"/>
      <c r="N43" s="533"/>
      <c r="O43" s="343"/>
      <c r="P43" s="534"/>
      <c r="Q43" s="161"/>
      <c r="R43" s="535"/>
      <c r="S43" s="228"/>
      <c r="T43" s="304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</row>
    <row r="44" spans="1:19" ht="6.75" customHeight="1">
      <c r="A44" s="198"/>
      <c r="B44" s="198"/>
      <c r="C44" s="198"/>
      <c r="D44" s="198"/>
      <c r="E44" s="198"/>
      <c r="F44" s="198"/>
      <c r="G44" s="198"/>
      <c r="H44" s="195"/>
      <c r="I44" s="195"/>
      <c r="J44" s="195"/>
      <c r="K44" s="195"/>
      <c r="L44" s="195"/>
      <c r="M44" s="198"/>
      <c r="N44" s="198"/>
      <c r="O44" s="197"/>
      <c r="P44" s="195"/>
      <c r="Q44" s="195"/>
      <c r="R44" s="195"/>
      <c r="S44" s="198"/>
    </row>
    <row r="45" spans="1:19" ht="12" customHeight="1">
      <c r="A45" s="198"/>
      <c r="B45" s="198"/>
      <c r="C45" s="198"/>
      <c r="D45" s="198"/>
      <c r="E45" s="553" t="str">
        <f>IF(C2="","","Cálculos basados en paciente de:")</f>
        <v>Cálculos basados en paciente de:</v>
      </c>
      <c r="F45" s="513">
        <f>C2</f>
        <v>1.94</v>
      </c>
      <c r="G45" s="554" t="str">
        <f>IF(C2="","","Kg")</f>
        <v>Kg</v>
      </c>
      <c r="H45" s="195"/>
      <c r="I45" s="195"/>
      <c r="J45" s="195"/>
      <c r="K45" s="195"/>
      <c r="L45" s="195"/>
      <c r="M45" s="198"/>
      <c r="N45" s="198"/>
      <c r="O45" s="197"/>
      <c r="P45" s="197"/>
      <c r="Q45" s="254" t="s">
        <v>390</v>
      </c>
      <c r="R45" s="255" t="s">
        <v>375</v>
      </c>
      <c r="S45" s="198"/>
    </row>
    <row r="46" spans="1:19" ht="3.7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</row>
    <row r="47" spans="8:15" s="304" customFormat="1" ht="396.75" customHeight="1">
      <c r="H47" s="865"/>
      <c r="I47" s="865"/>
      <c r="J47" s="865"/>
      <c r="K47" s="865"/>
      <c r="L47" s="865"/>
      <c r="O47" s="147"/>
    </row>
    <row r="48" spans="8:15" s="304" customFormat="1" ht="12">
      <c r="H48" s="865"/>
      <c r="I48" s="865"/>
      <c r="J48" s="865"/>
      <c r="K48" s="865"/>
      <c r="L48" s="865"/>
      <c r="O48" s="147"/>
    </row>
    <row r="49" spans="8:15" s="304" customFormat="1" ht="12">
      <c r="H49" s="865"/>
      <c r="I49" s="865"/>
      <c r="J49" s="865"/>
      <c r="K49" s="865"/>
      <c r="L49" s="865"/>
      <c r="O49" s="147"/>
    </row>
    <row r="50" spans="8:15" s="304" customFormat="1" ht="12">
      <c r="H50" s="865"/>
      <c r="I50" s="865"/>
      <c r="J50" s="865"/>
      <c r="K50" s="865"/>
      <c r="L50" s="865"/>
      <c r="O50" s="147"/>
    </row>
    <row r="51" spans="8:15" s="304" customFormat="1" ht="12">
      <c r="H51" s="865"/>
      <c r="I51" s="865"/>
      <c r="J51" s="865"/>
      <c r="K51" s="865"/>
      <c r="L51" s="865"/>
      <c r="O51" s="147"/>
    </row>
    <row r="52" spans="8:15" s="304" customFormat="1" ht="12">
      <c r="H52" s="865"/>
      <c r="I52" s="865"/>
      <c r="J52" s="865"/>
      <c r="K52" s="865"/>
      <c r="L52" s="865"/>
      <c r="O52" s="147"/>
    </row>
    <row r="53" spans="8:15" s="304" customFormat="1" ht="12">
      <c r="H53" s="865"/>
      <c r="I53" s="865"/>
      <c r="J53" s="865"/>
      <c r="K53" s="865"/>
      <c r="L53" s="865"/>
      <c r="O53" s="147"/>
    </row>
    <row r="54" spans="8:15" s="304" customFormat="1" ht="12">
      <c r="H54" s="865"/>
      <c r="I54" s="865"/>
      <c r="J54" s="865"/>
      <c r="K54" s="865"/>
      <c r="L54" s="865"/>
      <c r="O54" s="147"/>
    </row>
    <row r="55" spans="8:15" s="304" customFormat="1" ht="12">
      <c r="H55" s="865"/>
      <c r="I55" s="865"/>
      <c r="J55" s="865"/>
      <c r="K55" s="865"/>
      <c r="L55" s="865"/>
      <c r="O55" s="147"/>
    </row>
    <row r="56" spans="8:15" s="304" customFormat="1" ht="12">
      <c r="H56" s="865"/>
      <c r="I56" s="865"/>
      <c r="J56" s="865"/>
      <c r="K56" s="865"/>
      <c r="L56" s="865"/>
      <c r="O56" s="147"/>
    </row>
    <row r="57" spans="8:15" s="304" customFormat="1" ht="12">
      <c r="H57" s="865"/>
      <c r="I57" s="865"/>
      <c r="J57" s="865"/>
      <c r="K57" s="865"/>
      <c r="L57" s="865"/>
      <c r="O57" s="147"/>
    </row>
    <row r="58" spans="8:15" s="304" customFormat="1" ht="12">
      <c r="H58" s="865"/>
      <c r="I58" s="865"/>
      <c r="J58" s="865"/>
      <c r="K58" s="865"/>
      <c r="L58" s="865"/>
      <c r="O58" s="147"/>
    </row>
    <row r="59" spans="8:15" s="304" customFormat="1" ht="12">
      <c r="H59" s="865"/>
      <c r="I59" s="865"/>
      <c r="J59" s="865"/>
      <c r="K59" s="865"/>
      <c r="L59" s="865"/>
      <c r="O59" s="147"/>
    </row>
    <row r="60" spans="8:15" s="304" customFormat="1" ht="12">
      <c r="H60" s="865"/>
      <c r="I60" s="865"/>
      <c r="J60" s="865"/>
      <c r="K60" s="865"/>
      <c r="L60" s="865"/>
      <c r="O60" s="147"/>
    </row>
    <row r="61" spans="8:15" s="304" customFormat="1" ht="12">
      <c r="H61" s="865"/>
      <c r="I61" s="865"/>
      <c r="J61" s="865"/>
      <c r="K61" s="865"/>
      <c r="L61" s="865"/>
      <c r="O61" s="147"/>
    </row>
    <row r="62" spans="8:15" s="304" customFormat="1" ht="12">
      <c r="H62" s="865"/>
      <c r="I62" s="865"/>
      <c r="J62" s="865"/>
      <c r="K62" s="865"/>
      <c r="L62" s="865"/>
      <c r="O62" s="147"/>
    </row>
    <row r="63" spans="8:15" s="304" customFormat="1" ht="12">
      <c r="H63" s="865"/>
      <c r="I63" s="865"/>
      <c r="J63" s="865"/>
      <c r="K63" s="865"/>
      <c r="L63" s="865"/>
      <c r="O63" s="147"/>
    </row>
    <row r="64" spans="8:15" s="304" customFormat="1" ht="12">
      <c r="H64" s="865"/>
      <c r="I64" s="865"/>
      <c r="J64" s="865"/>
      <c r="K64" s="865"/>
      <c r="L64" s="865"/>
      <c r="O64" s="147"/>
    </row>
    <row r="65" spans="8:15" s="304" customFormat="1" ht="12">
      <c r="H65" s="865"/>
      <c r="I65" s="865"/>
      <c r="J65" s="865"/>
      <c r="K65" s="865"/>
      <c r="L65" s="865"/>
      <c r="O65" s="147"/>
    </row>
    <row r="66" spans="8:15" s="304" customFormat="1" ht="12">
      <c r="H66" s="865"/>
      <c r="I66" s="865"/>
      <c r="J66" s="865"/>
      <c r="K66" s="865"/>
      <c r="L66" s="865"/>
      <c r="O66" s="147"/>
    </row>
    <row r="67" spans="8:15" s="304" customFormat="1" ht="12">
      <c r="H67" s="865"/>
      <c r="I67" s="865"/>
      <c r="J67" s="865"/>
      <c r="K67" s="865"/>
      <c r="L67" s="865"/>
      <c r="O67" s="147"/>
    </row>
  </sheetData>
  <sheetProtection password="CC1A" sheet="1" objects="1" scenarios="1"/>
  <mergeCells count="2">
    <mergeCell ref="C2:D2"/>
    <mergeCell ref="P31:R32"/>
  </mergeCells>
  <printOptions/>
  <pageMargins left="0.3937007874015748" right="0.07874015748031496" top="0.07874015748031496" bottom="1" header="0" footer="0"/>
  <pageSetup fitToHeight="1" fitToWidth="1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4"/>
  <sheetViews>
    <sheetView showGridLines="0" showRowColHeaders="0" zoomScale="80" zoomScaleNormal="80" zoomScalePageLayoutView="0" workbookViewId="0" topLeftCell="A1">
      <selection activeCell="P4" sqref="P4"/>
    </sheetView>
  </sheetViews>
  <sheetFormatPr defaultColWidth="8.875" defaultRowHeight="12"/>
  <cols>
    <col min="1" max="1" width="0.875" style="116" customWidth="1"/>
    <col min="2" max="2" width="30.375" style="116" customWidth="1"/>
    <col min="3" max="3" width="5.375" style="116" customWidth="1"/>
    <col min="4" max="4" width="2.75390625" style="116" customWidth="1"/>
    <col min="5" max="5" width="15.75390625" style="116" customWidth="1"/>
    <col min="6" max="6" width="10.875" style="116" customWidth="1"/>
    <col min="7" max="7" width="7.125" style="4" customWidth="1"/>
    <col min="8" max="8" width="6.375" style="4" customWidth="1"/>
    <col min="9" max="9" width="10.375" style="4" customWidth="1"/>
    <col min="10" max="10" width="10.00390625" style="116" customWidth="1"/>
    <col min="11" max="11" width="6.375" style="116" customWidth="1"/>
    <col min="12" max="12" width="4.00390625" style="116" customWidth="1"/>
    <col min="13" max="14" width="5.25390625" style="116" customWidth="1"/>
    <col min="15" max="15" width="6.75390625" style="116" customWidth="1"/>
    <col min="16" max="16" width="9.125" style="116" customWidth="1"/>
    <col min="17" max="17" width="0.875" style="116" customWidth="1"/>
    <col min="18" max="18" width="27.375" style="866" customWidth="1"/>
    <col min="19" max="41" width="8.875" style="866" customWidth="1"/>
    <col min="42" max="16384" width="8.875" style="116" customWidth="1"/>
  </cols>
  <sheetData>
    <row r="1" spans="1:18" s="5" customFormat="1" ht="15.75">
      <c r="A1" s="346"/>
      <c r="B1" s="715" t="s">
        <v>169</v>
      </c>
      <c r="C1" s="354"/>
      <c r="D1" s="354"/>
      <c r="E1" s="354"/>
      <c r="F1" s="354"/>
      <c r="G1" s="355"/>
      <c r="H1" s="356"/>
      <c r="I1" s="357"/>
      <c r="J1" s="358" t="s">
        <v>179</v>
      </c>
      <c r="K1" s="987">
        <f ca="1">TODAY()</f>
        <v>41416</v>
      </c>
      <c r="L1" s="988"/>
      <c r="M1" s="357"/>
      <c r="N1" s="356"/>
      <c r="O1" s="359"/>
      <c r="P1" s="356"/>
      <c r="Q1" s="356"/>
      <c r="R1" s="866"/>
    </row>
    <row r="2" spans="1:18" s="5" customFormat="1" ht="15">
      <c r="A2" s="346"/>
      <c r="B2" s="360" t="str">
        <f>IF('1-Reanim'!B6="","",'1-Reanim'!B6)</f>
        <v>Antonio Cuñarro</v>
      </c>
      <c r="C2" s="356"/>
      <c r="D2" s="357"/>
      <c r="E2" s="357"/>
      <c r="F2" s="361" t="s">
        <v>59</v>
      </c>
      <c r="G2" s="362">
        <f>'1-Reanim'!C2</f>
        <v>1.94</v>
      </c>
      <c r="H2" s="363" t="s">
        <v>60</v>
      </c>
      <c r="I2" s="358" t="str">
        <f>IF('1-Reanim'!K6="","","Edad:")</f>
        <v>Edad:</v>
      </c>
      <c r="J2" s="364">
        <f>IF('1-Reanim'!J6="","",'1-Reanim'!J6)</f>
        <v>4089</v>
      </c>
      <c r="K2" s="357" t="str">
        <f>IF('1-Reanim'!K6="","","días de vida")</f>
        <v>días de vida</v>
      </c>
      <c r="L2" s="357"/>
      <c r="M2" s="356"/>
      <c r="N2" s="356"/>
      <c r="O2" s="356"/>
      <c r="P2" s="356"/>
      <c r="Q2" s="356"/>
      <c r="R2" s="866"/>
    </row>
    <row r="3" spans="1:18" s="77" customFormat="1" ht="4.5" customHeight="1">
      <c r="A3" s="347"/>
      <c r="B3" s="365"/>
      <c r="C3" s="366"/>
      <c r="D3" s="357"/>
      <c r="E3" s="357"/>
      <c r="F3" s="357"/>
      <c r="G3" s="367"/>
      <c r="H3" s="368"/>
      <c r="I3" s="369"/>
      <c r="J3" s="370"/>
      <c r="K3" s="361"/>
      <c r="L3" s="371"/>
      <c r="M3" s="363"/>
      <c r="N3" s="363"/>
      <c r="O3" s="356"/>
      <c r="P3" s="356"/>
      <c r="Q3" s="366"/>
      <c r="R3" s="866"/>
    </row>
    <row r="4" spans="1:18" s="77" customFormat="1" ht="12.75">
      <c r="A4" s="354"/>
      <c r="B4" s="490" t="s">
        <v>402</v>
      </c>
      <c r="C4" s="491"/>
      <c r="D4" s="518" t="s">
        <v>139</v>
      </c>
      <c r="E4" s="492"/>
      <c r="F4" s="492"/>
      <c r="G4" s="518" t="s">
        <v>403</v>
      </c>
      <c r="H4" s="493"/>
      <c r="I4" s="494"/>
      <c r="J4" s="509"/>
      <c r="K4" s="519" t="s">
        <v>157</v>
      </c>
      <c r="L4" s="495"/>
      <c r="M4" s="496"/>
      <c r="N4" s="496"/>
      <c r="O4" s="520"/>
      <c r="P4" s="522" t="s">
        <v>67</v>
      </c>
      <c r="Q4" s="366"/>
      <c r="R4" s="866"/>
    </row>
    <row r="5" spans="1:18" s="5" customFormat="1" ht="12" customHeight="1">
      <c r="A5" s="346"/>
      <c r="B5" s="372"/>
      <c r="C5" s="356"/>
      <c r="D5" s="372"/>
      <c r="E5" s="372"/>
      <c r="F5" s="372"/>
      <c r="G5" s="628" t="s">
        <v>251</v>
      </c>
      <c r="H5" s="628" t="s">
        <v>159</v>
      </c>
      <c r="I5" s="629" t="s">
        <v>24</v>
      </c>
      <c r="J5" s="510"/>
      <c r="K5" s="373"/>
      <c r="L5" s="374"/>
      <c r="M5" s="375"/>
      <c r="N5" s="375"/>
      <c r="O5" s="376"/>
      <c r="P5" s="377"/>
      <c r="Q5" s="356"/>
      <c r="R5" s="866"/>
    </row>
    <row r="6" spans="1:41" s="27" customFormat="1" ht="12" customHeight="1">
      <c r="A6" s="348"/>
      <c r="B6" s="79" t="s">
        <v>104</v>
      </c>
      <c r="C6" s="80"/>
      <c r="D6" s="80" t="s">
        <v>87</v>
      </c>
      <c r="E6" s="80"/>
      <c r="F6" s="80"/>
      <c r="G6" s="56">
        <f>0.75*G2</f>
        <v>1.455</v>
      </c>
      <c r="H6" s="57" t="s">
        <v>108</v>
      </c>
      <c r="I6" s="81" t="s">
        <v>191</v>
      </c>
      <c r="J6" s="82"/>
      <c r="K6" s="58">
        <f>15*G2</f>
        <v>29.099999999999998</v>
      </c>
      <c r="L6" s="83" t="s">
        <v>72</v>
      </c>
      <c r="M6" s="59" t="s">
        <v>31</v>
      </c>
      <c r="N6" s="59"/>
      <c r="O6" s="80"/>
      <c r="P6" s="84" t="s">
        <v>160</v>
      </c>
      <c r="Q6" s="388"/>
      <c r="R6" s="866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</row>
    <row r="7" spans="1:41" s="27" customFormat="1" ht="12" customHeight="1">
      <c r="A7" s="348"/>
      <c r="B7" s="85"/>
      <c r="G7" s="31">
        <f>1.875*G2</f>
        <v>3.6374999999999997</v>
      </c>
      <c r="H7" s="29" t="s">
        <v>108</v>
      </c>
      <c r="I7" s="86" t="s">
        <v>225</v>
      </c>
      <c r="J7" s="87"/>
      <c r="K7" s="30">
        <f>37.5*G2</f>
        <v>72.75</v>
      </c>
      <c r="L7" s="88" t="s">
        <v>72</v>
      </c>
      <c r="M7" s="14"/>
      <c r="N7" s="14"/>
      <c r="O7" s="12"/>
      <c r="P7" s="75" t="s">
        <v>133</v>
      </c>
      <c r="Q7" s="388"/>
      <c r="R7" s="866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</row>
    <row r="8" spans="1:41" s="27" customFormat="1" ht="3" customHeight="1">
      <c r="A8" s="348"/>
      <c r="B8" s="378"/>
      <c r="C8" s="379"/>
      <c r="D8" s="379"/>
      <c r="E8" s="379"/>
      <c r="F8" s="379"/>
      <c r="G8" s="380"/>
      <c r="H8" s="381"/>
      <c r="I8" s="382"/>
      <c r="J8" s="383"/>
      <c r="K8" s="384"/>
      <c r="L8" s="385"/>
      <c r="M8" s="386"/>
      <c r="N8" s="386"/>
      <c r="O8" s="379"/>
      <c r="P8" s="387"/>
      <c r="Q8" s="388"/>
      <c r="R8" s="866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</row>
    <row r="9" spans="1:41" s="27" customFormat="1" ht="12" customHeight="1">
      <c r="A9" s="348"/>
      <c r="B9" s="85" t="s">
        <v>386</v>
      </c>
      <c r="D9" s="27" t="s">
        <v>88</v>
      </c>
      <c r="G9" s="33">
        <f>2.4*G2</f>
        <v>4.656</v>
      </c>
      <c r="H9" s="34" t="s">
        <v>108</v>
      </c>
      <c r="I9" s="26" t="s">
        <v>191</v>
      </c>
      <c r="J9" s="90"/>
      <c r="K9" s="35">
        <f>30*G2</f>
        <v>58.199999999999996</v>
      </c>
      <c r="L9" s="91" t="s">
        <v>72</v>
      </c>
      <c r="M9" s="17" t="s">
        <v>254</v>
      </c>
      <c r="N9" s="17"/>
      <c r="P9" s="92" t="s">
        <v>301</v>
      </c>
      <c r="Q9" s="388"/>
      <c r="R9" s="866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</row>
    <row r="10" spans="1:41" s="27" customFormat="1" ht="12" customHeight="1">
      <c r="A10" s="348"/>
      <c r="B10" s="64" t="s">
        <v>107</v>
      </c>
      <c r="G10" s="31">
        <f>3*G2</f>
        <v>5.82</v>
      </c>
      <c r="H10" s="29" t="s">
        <v>108</v>
      </c>
      <c r="I10" s="86" t="s">
        <v>225</v>
      </c>
      <c r="J10" s="87"/>
      <c r="K10" s="30">
        <f>37.5*G2</f>
        <v>72.75</v>
      </c>
      <c r="L10" s="88" t="s">
        <v>72</v>
      </c>
      <c r="M10" s="14"/>
      <c r="N10" s="14"/>
      <c r="O10" s="12"/>
      <c r="P10" s="75" t="s">
        <v>92</v>
      </c>
      <c r="Q10" s="388"/>
      <c r="R10" s="866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</row>
    <row r="11" spans="1:41" s="27" customFormat="1" ht="3" customHeight="1">
      <c r="A11" s="348"/>
      <c r="B11" s="378"/>
      <c r="C11" s="379"/>
      <c r="D11" s="379"/>
      <c r="E11" s="379"/>
      <c r="F11" s="379"/>
      <c r="G11" s="380"/>
      <c r="H11" s="381"/>
      <c r="I11" s="382"/>
      <c r="J11" s="383"/>
      <c r="K11" s="384"/>
      <c r="L11" s="385"/>
      <c r="M11" s="386"/>
      <c r="N11" s="386"/>
      <c r="O11" s="379"/>
      <c r="P11" s="387"/>
      <c r="Q11" s="388"/>
      <c r="R11" s="866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</row>
    <row r="12" spans="1:41" s="27" customFormat="1" ht="13.5" customHeight="1">
      <c r="A12" s="348"/>
      <c r="B12" s="6" t="s">
        <v>205</v>
      </c>
      <c r="C12" s="70"/>
      <c r="D12" s="70" t="s">
        <v>90</v>
      </c>
      <c r="E12" s="70"/>
      <c r="F12" s="70"/>
      <c r="G12" s="36">
        <f>1.5*G2</f>
        <v>2.91</v>
      </c>
      <c r="H12" s="32" t="s">
        <v>108</v>
      </c>
      <c r="I12" s="89" t="s">
        <v>93</v>
      </c>
      <c r="J12" s="70"/>
      <c r="K12" s="37">
        <f>1.5*G2</f>
        <v>2.91</v>
      </c>
      <c r="L12" s="93" t="s">
        <v>72</v>
      </c>
      <c r="M12" s="38" t="s">
        <v>255</v>
      </c>
      <c r="N12" s="38"/>
      <c r="O12" s="70"/>
      <c r="P12" s="65" t="s">
        <v>91</v>
      </c>
      <c r="Q12" s="388"/>
      <c r="R12" s="866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</row>
    <row r="13" spans="1:41" s="27" customFormat="1" ht="3" customHeight="1">
      <c r="A13" s="348"/>
      <c r="B13" s="399"/>
      <c r="C13" s="389"/>
      <c r="D13" s="389"/>
      <c r="E13" s="389"/>
      <c r="F13" s="389"/>
      <c r="G13" s="390"/>
      <c r="H13" s="391"/>
      <c r="I13" s="392"/>
      <c r="J13" s="389"/>
      <c r="K13" s="393"/>
      <c r="L13" s="394"/>
      <c r="M13" s="395"/>
      <c r="N13" s="395"/>
      <c r="O13" s="389"/>
      <c r="P13" s="396"/>
      <c r="Q13" s="388"/>
      <c r="R13" s="866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</row>
    <row r="14" spans="1:41" s="27" customFormat="1" ht="13.5" customHeight="1">
      <c r="A14" s="348"/>
      <c r="B14" s="8" t="s">
        <v>155</v>
      </c>
      <c r="C14" s="15"/>
      <c r="D14" s="70" t="s">
        <v>90</v>
      </c>
      <c r="E14" s="15"/>
      <c r="F14" s="15"/>
      <c r="G14" s="36">
        <f>1.5*G2</f>
        <v>2.91</v>
      </c>
      <c r="H14" s="29" t="s">
        <v>108</v>
      </c>
      <c r="I14" s="89" t="s">
        <v>93</v>
      </c>
      <c r="J14" s="15"/>
      <c r="K14" s="39">
        <f>1.5*G2</f>
        <v>2.91</v>
      </c>
      <c r="L14" s="98" t="s">
        <v>72</v>
      </c>
      <c r="M14" s="16" t="s">
        <v>145</v>
      </c>
      <c r="N14" s="16"/>
      <c r="O14" s="15"/>
      <c r="P14" s="65" t="s">
        <v>91</v>
      </c>
      <c r="Q14" s="388"/>
      <c r="R14" s="866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</row>
    <row r="15" spans="1:41" s="27" customFormat="1" ht="3" customHeight="1">
      <c r="A15" s="348"/>
      <c r="B15" s="378"/>
      <c r="C15" s="379"/>
      <c r="D15" s="389"/>
      <c r="E15" s="379"/>
      <c r="F15" s="379"/>
      <c r="G15" s="380"/>
      <c r="H15" s="397"/>
      <c r="I15" s="382"/>
      <c r="J15" s="379"/>
      <c r="K15" s="398"/>
      <c r="L15" s="385"/>
      <c r="M15" s="386"/>
      <c r="N15" s="386"/>
      <c r="O15" s="379"/>
      <c r="P15" s="396"/>
      <c r="Q15" s="388"/>
      <c r="R15" s="866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</row>
    <row r="16" spans="1:41" s="27" customFormat="1" ht="13.5" customHeight="1">
      <c r="A16" s="348"/>
      <c r="B16" s="8" t="s">
        <v>156</v>
      </c>
      <c r="C16" s="15"/>
      <c r="D16" s="15" t="s">
        <v>89</v>
      </c>
      <c r="E16" s="15"/>
      <c r="F16" s="15"/>
      <c r="G16" s="36">
        <f>3.75*G2</f>
        <v>7.2749999999999995</v>
      </c>
      <c r="H16" s="32" t="s">
        <v>108</v>
      </c>
      <c r="I16" s="89" t="s">
        <v>93</v>
      </c>
      <c r="J16" s="15"/>
      <c r="K16" s="39">
        <f>0.75*G2</f>
        <v>1.455</v>
      </c>
      <c r="L16" s="98" t="s">
        <v>72</v>
      </c>
      <c r="M16" s="16" t="s">
        <v>81</v>
      </c>
      <c r="N16" s="16"/>
      <c r="O16" s="15"/>
      <c r="P16" s="73" t="s">
        <v>53</v>
      </c>
      <c r="Q16" s="388"/>
      <c r="R16" s="866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</row>
    <row r="17" spans="1:41" s="27" customFormat="1" ht="3" customHeight="1">
      <c r="A17" s="348"/>
      <c r="B17" s="378"/>
      <c r="C17" s="379"/>
      <c r="D17" s="389"/>
      <c r="E17" s="379"/>
      <c r="F17" s="379"/>
      <c r="G17" s="380"/>
      <c r="H17" s="397"/>
      <c r="I17" s="382"/>
      <c r="J17" s="379"/>
      <c r="K17" s="398"/>
      <c r="L17" s="385"/>
      <c r="M17" s="386"/>
      <c r="N17" s="386"/>
      <c r="O17" s="379"/>
      <c r="P17" s="396"/>
      <c r="Q17" s="388"/>
      <c r="R17" s="866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</row>
    <row r="18" spans="1:41" s="27" customFormat="1" ht="12" customHeight="1">
      <c r="A18" s="348"/>
      <c r="B18" s="99" t="s">
        <v>258</v>
      </c>
      <c r="C18" s="12"/>
      <c r="D18" s="12" t="s">
        <v>252</v>
      </c>
      <c r="E18" s="12"/>
      <c r="F18" s="12"/>
      <c r="G18" s="40"/>
      <c r="H18" s="29"/>
      <c r="I18" s="86"/>
      <c r="J18" s="87"/>
      <c r="K18" s="41"/>
      <c r="L18" s="88"/>
      <c r="M18" s="14" t="s">
        <v>344</v>
      </c>
      <c r="N18" s="14"/>
      <c r="O18" s="12"/>
      <c r="P18" s="75"/>
      <c r="Q18" s="388"/>
      <c r="R18" s="866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</row>
    <row r="19" spans="1:41" s="27" customFormat="1" ht="12" customHeight="1">
      <c r="A19" s="348"/>
      <c r="B19" s="42" t="s">
        <v>109</v>
      </c>
      <c r="C19" s="7" t="s">
        <v>316</v>
      </c>
      <c r="D19" s="70"/>
      <c r="E19" s="70"/>
      <c r="F19" s="70"/>
      <c r="G19" s="43">
        <f>0.6*G2</f>
        <v>1.164</v>
      </c>
      <c r="H19" s="28" t="s">
        <v>108</v>
      </c>
      <c r="I19" s="94" t="s">
        <v>191</v>
      </c>
      <c r="J19" s="100"/>
      <c r="K19" s="37">
        <f>G2*0.3</f>
        <v>0.582</v>
      </c>
      <c r="L19" s="93" t="s">
        <v>72</v>
      </c>
      <c r="M19" s="38"/>
      <c r="N19" s="38"/>
      <c r="O19" s="70"/>
      <c r="P19" s="65" t="s">
        <v>253</v>
      </c>
      <c r="Q19" s="388"/>
      <c r="R19" s="866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</row>
    <row r="20" spans="1:41" s="27" customFormat="1" ht="3" customHeight="1">
      <c r="A20" s="348"/>
      <c r="B20" s="400"/>
      <c r="C20" s="402"/>
      <c r="D20" s="388"/>
      <c r="E20" s="388"/>
      <c r="F20" s="388"/>
      <c r="G20" s="412"/>
      <c r="H20" s="391"/>
      <c r="I20" s="404"/>
      <c r="J20" s="363"/>
      <c r="K20" s="410"/>
      <c r="L20" s="411"/>
      <c r="M20" s="406"/>
      <c r="N20" s="406"/>
      <c r="O20" s="388"/>
      <c r="P20" s="409"/>
      <c r="Q20" s="388"/>
      <c r="R20" s="866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</row>
    <row r="21" spans="1:41" s="27" customFormat="1" ht="12" customHeight="1">
      <c r="A21" s="348"/>
      <c r="B21" s="99" t="s">
        <v>311</v>
      </c>
      <c r="C21" s="12"/>
      <c r="D21" s="12" t="s">
        <v>256</v>
      </c>
      <c r="E21" s="12"/>
      <c r="F21" s="12"/>
      <c r="G21" s="40"/>
      <c r="H21" s="29"/>
      <c r="I21" s="86"/>
      <c r="J21" s="87"/>
      <c r="K21" s="41"/>
      <c r="L21" s="88"/>
      <c r="M21" s="14" t="s">
        <v>345</v>
      </c>
      <c r="N21" s="14"/>
      <c r="O21" s="12"/>
      <c r="P21" s="75"/>
      <c r="Q21" s="388"/>
      <c r="R21" s="866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</row>
    <row r="22" spans="1:41" s="27" customFormat="1" ht="12" customHeight="1">
      <c r="A22" s="348"/>
      <c r="B22" s="42" t="s">
        <v>312</v>
      </c>
      <c r="C22" s="7"/>
      <c r="D22" s="70"/>
      <c r="E22" s="70"/>
      <c r="F22" s="70"/>
      <c r="G22" s="44">
        <f>3.75*G2</f>
        <v>7.2749999999999995</v>
      </c>
      <c r="H22" s="28" t="s">
        <v>108</v>
      </c>
      <c r="I22" s="94" t="s">
        <v>225</v>
      </c>
      <c r="J22" s="100"/>
      <c r="K22" s="45">
        <f>G2*37.5</f>
        <v>72.75</v>
      </c>
      <c r="L22" s="93" t="s">
        <v>161</v>
      </c>
      <c r="M22" s="38"/>
      <c r="N22" s="38"/>
      <c r="O22" s="70"/>
      <c r="P22" s="65" t="s">
        <v>257</v>
      </c>
      <c r="Q22" s="388"/>
      <c r="R22" s="866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</row>
    <row r="23" spans="1:41" s="27" customFormat="1" ht="3" customHeight="1">
      <c r="A23" s="348"/>
      <c r="B23" s="401"/>
      <c r="C23" s="402"/>
      <c r="D23" s="388"/>
      <c r="E23" s="388"/>
      <c r="F23" s="388"/>
      <c r="G23" s="403"/>
      <c r="H23" s="391"/>
      <c r="I23" s="404"/>
      <c r="J23" s="363"/>
      <c r="K23" s="405"/>
      <c r="L23" s="374"/>
      <c r="M23" s="406"/>
      <c r="N23" s="406"/>
      <c r="O23" s="388"/>
      <c r="P23" s="408"/>
      <c r="Q23" s="388"/>
      <c r="R23" s="866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</row>
    <row r="24" spans="1:41" s="27" customFormat="1" ht="13.5" customHeight="1">
      <c r="A24" s="348"/>
      <c r="B24" s="11" t="s">
        <v>25</v>
      </c>
      <c r="C24" s="12"/>
      <c r="D24" s="13" t="s">
        <v>173</v>
      </c>
      <c r="E24" s="12"/>
      <c r="F24" s="12"/>
      <c r="G24" s="523"/>
      <c r="H24" s="29"/>
      <c r="I24" s="86"/>
      <c r="J24" s="524" t="s">
        <v>170</v>
      </c>
      <c r="K24" s="30">
        <f>G2*75</f>
        <v>145.5</v>
      </c>
      <c r="L24" s="88" t="s">
        <v>161</v>
      </c>
      <c r="M24" s="47" t="s">
        <v>41</v>
      </c>
      <c r="N24" s="14"/>
      <c r="O24" s="12"/>
      <c r="P24" s="67" t="s">
        <v>26</v>
      </c>
      <c r="Q24" s="388"/>
      <c r="R24" s="866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</row>
    <row r="25" spans="1:41" s="27" customFormat="1" ht="12" customHeight="1">
      <c r="A25" s="348"/>
      <c r="B25" s="956"/>
      <c r="C25" s="18"/>
      <c r="D25" s="27" t="s">
        <v>171</v>
      </c>
      <c r="G25" s="955">
        <f>3.75*G2</f>
        <v>7.2749999999999995</v>
      </c>
      <c r="H25" s="34" t="s">
        <v>108</v>
      </c>
      <c r="I25" s="26" t="s">
        <v>225</v>
      </c>
      <c r="J25" s="90"/>
      <c r="K25" s="957">
        <f>G2*3.75</f>
        <v>7.2749999999999995</v>
      </c>
      <c r="L25" s="91" t="s">
        <v>72</v>
      </c>
      <c r="M25" s="17"/>
      <c r="N25" s="17"/>
      <c r="P25" s="92" t="s">
        <v>172</v>
      </c>
      <c r="Q25" s="388"/>
      <c r="R25" s="866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</row>
    <row r="26" spans="1:41" s="27" customFormat="1" ht="12" customHeight="1">
      <c r="A26" s="348"/>
      <c r="B26" s="958" t="s">
        <v>174</v>
      </c>
      <c r="C26" s="7" t="s">
        <v>175</v>
      </c>
      <c r="D26" s="7"/>
      <c r="E26" s="7"/>
      <c r="F26" s="7"/>
      <c r="G26" s="959"/>
      <c r="H26" s="94"/>
      <c r="I26" s="94"/>
      <c r="J26" s="100"/>
      <c r="K26" s="45"/>
      <c r="L26" s="93"/>
      <c r="M26" s="38"/>
      <c r="N26" s="38"/>
      <c r="O26" s="70"/>
      <c r="P26" s="65"/>
      <c r="Q26" s="388"/>
      <c r="R26" s="866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</row>
    <row r="27" spans="1:41" s="27" customFormat="1" ht="11.25" customHeight="1">
      <c r="A27" s="348"/>
      <c r="B27" s="401"/>
      <c r="C27" s="402"/>
      <c r="D27" s="388"/>
      <c r="E27" s="388"/>
      <c r="F27" s="388"/>
      <c r="G27" s="403"/>
      <c r="H27" s="391"/>
      <c r="I27" s="404"/>
      <c r="J27" s="363"/>
      <c r="K27" s="407"/>
      <c r="L27" s="374"/>
      <c r="M27" s="406"/>
      <c r="N27" s="406"/>
      <c r="O27" s="388"/>
      <c r="P27" s="408"/>
      <c r="Q27" s="388"/>
      <c r="R27" s="866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</row>
    <row r="28" spans="1:41" s="27" customFormat="1" ht="13.5" customHeight="1">
      <c r="A28" s="348"/>
      <c r="B28" s="79" t="s">
        <v>281</v>
      </c>
      <c r="C28" s="103"/>
      <c r="D28" s="80" t="s">
        <v>241</v>
      </c>
      <c r="E28" s="80"/>
      <c r="F28" s="80"/>
      <c r="G28" s="60">
        <f>IF(G2&lt;=3,5*G2,"")</f>
        <v>9.7</v>
      </c>
      <c r="H28" s="57" t="str">
        <f>IF(G2&lt;=3,"ml ----&gt;","")</f>
        <v>ml ----&gt;</v>
      </c>
      <c r="I28" s="81" t="str">
        <f>IF(G2&lt;=3,"en SG. ó SF. hasta 25 ml","")</f>
        <v>en SG. ó SF. hasta 25 ml</v>
      </c>
      <c r="J28" s="82"/>
      <c r="K28" s="61">
        <f>IF(G2&lt;=3,0.249*G2,"")</f>
        <v>0.48306</v>
      </c>
      <c r="L28" s="83" t="str">
        <f>IF(G2&lt;=3,"mg","")</f>
        <v>mg</v>
      </c>
      <c r="M28" s="59" t="s">
        <v>248</v>
      </c>
      <c r="N28" s="59"/>
      <c r="O28" s="80"/>
      <c r="P28" s="84" t="str">
        <f>IF(G2&lt;=3,"0.1 ml/hr = 1 mcg/kg/hr","")</f>
        <v>0.1 ml/hr = 1 mcg/kg/hr</v>
      </c>
      <c r="Q28" s="388"/>
      <c r="R28" s="866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</row>
    <row r="29" spans="1:41" s="27" customFormat="1" ht="12" customHeight="1">
      <c r="A29" s="348"/>
      <c r="B29" s="104" t="s">
        <v>119</v>
      </c>
      <c r="C29" s="70"/>
      <c r="D29" s="7"/>
      <c r="E29" s="70"/>
      <c r="F29" s="70"/>
      <c r="G29" s="44">
        <f>IF(G2&gt;3,2.5*G2,"")</f>
      </c>
      <c r="H29" s="28">
        <f>IF(G2&gt;3,"ml ----&gt;","")</f>
      </c>
      <c r="I29" s="94">
        <f>IF(G2&gt;3,"en SG. ó SF. hasta 25 ml","")</f>
      </c>
      <c r="J29" s="100"/>
      <c r="K29" s="37">
        <f>IF(G2&gt;3,0.125*G2,"")</f>
      </c>
      <c r="L29" s="93">
        <f>IF(G2&gt;3,"mg","")</f>
      </c>
      <c r="M29" s="96"/>
      <c r="N29" s="96"/>
      <c r="O29" s="70"/>
      <c r="P29" s="65">
        <f>IF(G2&gt;3,"0.2 ml/h = 1 mcg/kg/hr","")</f>
      </c>
      <c r="Q29" s="388"/>
      <c r="R29" s="866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</row>
    <row r="30" spans="1:41" s="27" customFormat="1" ht="3" customHeight="1">
      <c r="A30" s="348"/>
      <c r="B30" s="378"/>
      <c r="C30" s="379"/>
      <c r="D30" s="389"/>
      <c r="E30" s="379"/>
      <c r="F30" s="379"/>
      <c r="G30" s="380"/>
      <c r="H30" s="397"/>
      <c r="I30" s="382"/>
      <c r="J30" s="379"/>
      <c r="K30" s="398"/>
      <c r="L30" s="385"/>
      <c r="M30" s="386"/>
      <c r="N30" s="386"/>
      <c r="O30" s="379"/>
      <c r="P30" s="396"/>
      <c r="Q30" s="388"/>
      <c r="R30" s="866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</row>
    <row r="31" spans="1:41" s="27" customFormat="1" ht="13.5" customHeight="1">
      <c r="A31" s="348"/>
      <c r="B31" s="11" t="s">
        <v>391</v>
      </c>
      <c r="D31" s="12" t="s">
        <v>242</v>
      </c>
      <c r="E31" s="12"/>
      <c r="F31" s="12"/>
      <c r="G31" s="48"/>
      <c r="H31" s="49"/>
      <c r="I31" s="86"/>
      <c r="J31" s="87"/>
      <c r="K31" s="46"/>
      <c r="L31" s="88"/>
      <c r="M31" s="14" t="s">
        <v>249</v>
      </c>
      <c r="N31" s="14"/>
      <c r="O31" s="12"/>
      <c r="P31" s="75"/>
      <c r="Q31" s="388"/>
      <c r="R31" s="866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</row>
    <row r="32" spans="1:41" s="27" customFormat="1" ht="13.5" customHeight="1">
      <c r="A32" s="348"/>
      <c r="B32" s="6"/>
      <c r="C32" s="7"/>
      <c r="D32" s="70" t="s">
        <v>233</v>
      </c>
      <c r="E32" s="70"/>
      <c r="F32" s="70"/>
      <c r="G32" s="37">
        <f>0.5*G2</f>
        <v>0.97</v>
      </c>
      <c r="H32" s="28" t="s">
        <v>108</v>
      </c>
      <c r="I32" s="94" t="s">
        <v>191</v>
      </c>
      <c r="J32" s="100"/>
      <c r="K32" s="45">
        <f>G2*5</f>
        <v>9.7</v>
      </c>
      <c r="L32" s="93" t="s">
        <v>72</v>
      </c>
      <c r="M32" s="96"/>
      <c r="N32" s="96"/>
      <c r="O32" s="70"/>
      <c r="P32" s="65" t="s">
        <v>23</v>
      </c>
      <c r="Q32" s="388"/>
      <c r="R32" s="866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</row>
    <row r="33" spans="1:41" s="27" customFormat="1" ht="3" customHeight="1">
      <c r="A33" s="348"/>
      <c r="B33" s="378"/>
      <c r="C33" s="379"/>
      <c r="D33" s="389"/>
      <c r="E33" s="379"/>
      <c r="F33" s="379"/>
      <c r="G33" s="380"/>
      <c r="H33" s="397"/>
      <c r="I33" s="382"/>
      <c r="J33" s="379"/>
      <c r="K33" s="398"/>
      <c r="L33" s="385"/>
      <c r="M33" s="386"/>
      <c r="N33" s="386"/>
      <c r="O33" s="379"/>
      <c r="P33" s="396"/>
      <c r="Q33" s="388"/>
      <c r="R33" s="866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</row>
    <row r="34" spans="1:41" s="27" customFormat="1" ht="13.5" customHeight="1">
      <c r="A34" s="348"/>
      <c r="B34" s="11" t="s">
        <v>234</v>
      </c>
      <c r="C34" s="13"/>
      <c r="D34" s="13" t="s">
        <v>118</v>
      </c>
      <c r="E34" s="12"/>
      <c r="F34" s="12"/>
      <c r="G34" s="30">
        <f>3*G2</f>
        <v>5.82</v>
      </c>
      <c r="H34" s="50" t="s">
        <v>108</v>
      </c>
      <c r="I34" s="86" t="s">
        <v>93</v>
      </c>
      <c r="J34" s="101"/>
      <c r="K34" s="30">
        <f>3*G2</f>
        <v>5.82</v>
      </c>
      <c r="L34" s="88" t="s">
        <v>72</v>
      </c>
      <c r="M34" s="14" t="s">
        <v>250</v>
      </c>
      <c r="N34" s="14"/>
      <c r="O34" s="12"/>
      <c r="P34" s="75" t="s">
        <v>110</v>
      </c>
      <c r="Q34" s="388"/>
      <c r="R34" s="866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</row>
    <row r="35" spans="1:41" s="27" customFormat="1" ht="13.5" customHeight="1">
      <c r="A35" s="348"/>
      <c r="B35" s="105" t="s">
        <v>196</v>
      </c>
      <c r="C35" s="102"/>
      <c r="D35" s="102" t="s">
        <v>411</v>
      </c>
      <c r="E35" s="66"/>
      <c r="F35" s="62"/>
      <c r="G35" s="63"/>
      <c r="H35" s="106"/>
      <c r="I35" s="107"/>
      <c r="J35" s="108"/>
      <c r="K35" s="109"/>
      <c r="L35" s="110"/>
      <c r="M35" s="111"/>
      <c r="N35" s="111"/>
      <c r="O35" s="66"/>
      <c r="P35" s="112"/>
      <c r="Q35" s="388"/>
      <c r="R35" s="866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</row>
    <row r="36" spans="1:41" s="27" customFormat="1" ht="11.25" customHeight="1">
      <c r="A36" s="348"/>
      <c r="B36" s="401"/>
      <c r="C36" s="402"/>
      <c r="D36" s="388"/>
      <c r="E36" s="388"/>
      <c r="F36" s="388"/>
      <c r="G36" s="403"/>
      <c r="H36" s="391"/>
      <c r="I36" s="404"/>
      <c r="J36" s="363"/>
      <c r="K36" s="407"/>
      <c r="L36" s="374"/>
      <c r="M36" s="406"/>
      <c r="N36" s="406"/>
      <c r="O36" s="388"/>
      <c r="P36" s="408"/>
      <c r="Q36" s="388"/>
      <c r="R36" s="866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</row>
    <row r="37" spans="1:41" s="27" customFormat="1" ht="3" customHeight="1">
      <c r="A37" s="348"/>
      <c r="B37" s="626"/>
      <c r="C37" s="12"/>
      <c r="D37" s="12"/>
      <c r="E37" s="12"/>
      <c r="F37" s="12"/>
      <c r="G37" s="113"/>
      <c r="H37" s="113"/>
      <c r="I37" s="86"/>
      <c r="J37" s="87"/>
      <c r="K37" s="114"/>
      <c r="L37" s="49"/>
      <c r="M37" s="115"/>
      <c r="N37" s="115"/>
      <c r="O37" s="12"/>
      <c r="P37" s="75"/>
      <c r="Q37" s="388"/>
      <c r="R37" s="866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</row>
    <row r="38" spans="1:41" s="27" customFormat="1" ht="13.5" customHeight="1">
      <c r="A38" s="348"/>
      <c r="B38" s="660" t="s">
        <v>361</v>
      </c>
      <c r="D38" s="18" t="s">
        <v>22</v>
      </c>
      <c r="G38" s="623"/>
      <c r="H38" s="623"/>
      <c r="I38" s="26"/>
      <c r="J38" s="90"/>
      <c r="K38" s="624"/>
      <c r="L38" s="23"/>
      <c r="M38" s="625"/>
      <c r="N38" s="625"/>
      <c r="P38" s="92" t="s">
        <v>209</v>
      </c>
      <c r="Q38" s="388"/>
      <c r="R38" s="866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</row>
    <row r="39" spans="1:17" ht="14.25" customHeight="1">
      <c r="A39" s="349"/>
      <c r="B39" s="594"/>
      <c r="C39" s="597"/>
      <c r="D39" s="596"/>
      <c r="E39" s="90"/>
      <c r="F39" s="590" t="s">
        <v>355</v>
      </c>
      <c r="G39" s="588">
        <f>0.5*G2</f>
        <v>0.97</v>
      </c>
      <c r="H39" s="591" t="s">
        <v>356</v>
      </c>
      <c r="J39" s="27"/>
      <c r="K39" s="27"/>
      <c r="L39" s="27"/>
      <c r="M39" s="27"/>
      <c r="N39" s="27"/>
      <c r="O39" s="27"/>
      <c r="P39" s="627"/>
      <c r="Q39" s="350"/>
    </row>
    <row r="40" spans="1:17" ht="12.75" customHeight="1">
      <c r="A40" s="349"/>
      <c r="B40" s="598"/>
      <c r="C40" s="27"/>
      <c r="D40" s="26"/>
      <c r="E40" s="90"/>
      <c r="G40" s="591" t="s">
        <v>357</v>
      </c>
      <c r="J40" s="592"/>
      <c r="K40" s="632"/>
      <c r="L40" s="633"/>
      <c r="M40" s="633"/>
      <c r="N40" s="633"/>
      <c r="O40" s="633"/>
      <c r="P40" s="634" t="s">
        <v>61</v>
      </c>
      <c r="Q40" s="350"/>
    </row>
    <row r="41" spans="1:17" ht="13.5" customHeight="1">
      <c r="A41" s="349"/>
      <c r="B41" s="64"/>
      <c r="C41" s="27"/>
      <c r="D41" s="27"/>
      <c r="E41" s="646" t="s">
        <v>245</v>
      </c>
      <c r="F41" s="587"/>
      <c r="G41" s="591" t="s">
        <v>140</v>
      </c>
      <c r="H41" s="595"/>
      <c r="I41" s="26"/>
      <c r="J41" s="27"/>
      <c r="K41" s="635"/>
      <c r="L41" s="636"/>
      <c r="M41" s="637"/>
      <c r="N41" s="638"/>
      <c r="O41" s="637"/>
      <c r="P41" s="639" t="s">
        <v>244</v>
      </c>
      <c r="Q41" s="350"/>
    </row>
    <row r="42" spans="1:41" s="27" customFormat="1" ht="12.75" customHeight="1">
      <c r="A42" s="348"/>
      <c r="B42" s="118"/>
      <c r="K42" s="640"/>
      <c r="L42" s="637"/>
      <c r="M42" s="637"/>
      <c r="N42" s="641"/>
      <c r="O42" s="637"/>
      <c r="P42" s="639" t="s">
        <v>243</v>
      </c>
      <c r="Q42" s="388"/>
      <c r="R42" s="866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</row>
    <row r="43" spans="1:17" ht="12.75" customHeight="1">
      <c r="A43" s="349"/>
      <c r="B43" s="118"/>
      <c r="C43" s="27"/>
      <c r="D43" s="27"/>
      <c r="E43" s="621"/>
      <c r="F43" s="587"/>
      <c r="G43" s="591"/>
      <c r="H43" s="595"/>
      <c r="I43" s="26"/>
      <c r="J43" s="609" t="s">
        <v>30</v>
      </c>
      <c r="K43" s="642"/>
      <c r="L43" s="643"/>
      <c r="M43" s="643"/>
      <c r="N43" s="644"/>
      <c r="O43" s="643"/>
      <c r="P43" s="645" t="s">
        <v>246</v>
      </c>
      <c r="Q43" s="350"/>
    </row>
    <row r="44" spans="1:17" ht="6" customHeight="1">
      <c r="A44" s="349"/>
      <c r="B44" s="589"/>
      <c r="C44" s="70"/>
      <c r="D44" s="70"/>
      <c r="E44" s="97"/>
      <c r="F44" s="51"/>
      <c r="G44" s="593"/>
      <c r="H44" s="52"/>
      <c r="I44" s="94"/>
      <c r="J44" s="70"/>
      <c r="K44" s="70"/>
      <c r="L44" s="70"/>
      <c r="M44" s="70"/>
      <c r="N44" s="70"/>
      <c r="O44" s="70"/>
      <c r="P44" s="622"/>
      <c r="Q44" s="350"/>
    </row>
    <row r="45" spans="1:17" ht="10.5" customHeight="1">
      <c r="A45" s="349"/>
      <c r="B45" s="350"/>
      <c r="C45" s="350"/>
      <c r="D45" s="350"/>
      <c r="E45" s="350"/>
      <c r="F45" s="350"/>
      <c r="G45" s="351"/>
      <c r="H45" s="351"/>
      <c r="I45" s="351"/>
      <c r="J45" s="350"/>
      <c r="K45" s="350"/>
      <c r="L45" s="350"/>
      <c r="M45" s="350"/>
      <c r="N45" s="350"/>
      <c r="O45" s="350"/>
      <c r="P45" s="350"/>
      <c r="Q45" s="350"/>
    </row>
    <row r="46" spans="1:17" ht="10.5" customHeight="1">
      <c r="A46" s="349"/>
      <c r="B46" s="350"/>
      <c r="C46" s="350"/>
      <c r="D46" s="350"/>
      <c r="E46" s="350"/>
      <c r="F46" s="350"/>
      <c r="G46" s="351"/>
      <c r="H46" s="351"/>
      <c r="I46" s="351"/>
      <c r="J46" s="350"/>
      <c r="K46" s="350"/>
      <c r="L46" s="350"/>
      <c r="M46" s="350"/>
      <c r="N46" s="350"/>
      <c r="O46" s="350"/>
      <c r="P46" s="350"/>
      <c r="Q46" s="350"/>
    </row>
    <row r="47" spans="1:41" s="27" customFormat="1" ht="12" customHeight="1">
      <c r="A47" s="348"/>
      <c r="B47" s="99" t="s">
        <v>261</v>
      </c>
      <c r="C47" s="12"/>
      <c r="D47" s="12" t="s">
        <v>15</v>
      </c>
      <c r="E47" s="631"/>
      <c r="F47" s="12"/>
      <c r="G47" s="30">
        <f>3*G2</f>
        <v>5.82</v>
      </c>
      <c r="H47" s="50" t="s">
        <v>108</v>
      </c>
      <c r="I47" s="86" t="s">
        <v>93</v>
      </c>
      <c r="J47" s="101"/>
      <c r="K47" s="30">
        <f>60*G2</f>
        <v>116.39999999999999</v>
      </c>
      <c r="L47" s="88" t="s">
        <v>72</v>
      </c>
      <c r="M47" s="14" t="s">
        <v>359</v>
      </c>
      <c r="N47" s="14"/>
      <c r="O47" s="12"/>
      <c r="P47" s="75" t="s">
        <v>401</v>
      </c>
      <c r="Q47" s="388"/>
      <c r="R47" s="866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</row>
    <row r="48" spans="1:41" s="27" customFormat="1" ht="12" customHeight="1">
      <c r="A48" s="348"/>
      <c r="B48" s="42" t="s">
        <v>222</v>
      </c>
      <c r="C48" s="7"/>
      <c r="D48" s="70"/>
      <c r="E48" s="70" t="s">
        <v>262</v>
      </c>
      <c r="F48" s="70"/>
      <c r="G48" s="44"/>
      <c r="H48" s="28"/>
      <c r="I48" s="94"/>
      <c r="J48" s="100"/>
      <c r="K48" s="45"/>
      <c r="L48" s="93"/>
      <c r="M48" s="38"/>
      <c r="N48" s="38"/>
      <c r="O48" s="70"/>
      <c r="P48" s="65"/>
      <c r="Q48" s="388"/>
      <c r="R48" s="866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</row>
    <row r="49" spans="1:17" ht="9" customHeight="1">
      <c r="A49" s="349"/>
      <c r="B49" s="350"/>
      <c r="C49" s="350"/>
      <c r="D49" s="350"/>
      <c r="E49" s="350"/>
      <c r="F49" s="350"/>
      <c r="G49" s="351"/>
      <c r="H49" s="351"/>
      <c r="I49" s="351"/>
      <c r="J49" s="350"/>
      <c r="K49" s="350"/>
      <c r="L49" s="350"/>
      <c r="M49" s="350"/>
      <c r="N49" s="350"/>
      <c r="O49" s="352"/>
      <c r="P49" s="353"/>
      <c r="Q49" s="350"/>
    </row>
    <row r="50" spans="1:41" s="27" customFormat="1" ht="12" customHeight="1">
      <c r="A50" s="348"/>
      <c r="B50" s="799" t="s">
        <v>65</v>
      </c>
      <c r="C50" s="12"/>
      <c r="D50" s="12" t="s">
        <v>398</v>
      </c>
      <c r="E50" s="12"/>
      <c r="F50" s="12"/>
      <c r="G50" s="523">
        <f>1.55*G2</f>
        <v>3.007</v>
      </c>
      <c r="H50" s="50" t="s">
        <v>108</v>
      </c>
      <c r="I50" s="86" t="s">
        <v>93</v>
      </c>
      <c r="J50" s="87"/>
      <c r="K50" s="41">
        <f>15.56*G2</f>
        <v>30.1864</v>
      </c>
      <c r="L50" s="88" t="s">
        <v>72</v>
      </c>
      <c r="M50" s="14" t="s">
        <v>221</v>
      </c>
      <c r="N50" s="14"/>
      <c r="O50" s="12"/>
      <c r="P50" s="75" t="s">
        <v>213</v>
      </c>
      <c r="Q50" s="388"/>
      <c r="R50" s="866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</row>
    <row r="51" spans="1:41" s="27" customFormat="1" ht="12" customHeight="1">
      <c r="A51" s="348"/>
      <c r="B51" s="104" t="s">
        <v>358</v>
      </c>
      <c r="C51" s="7"/>
      <c r="D51" s="70"/>
      <c r="E51" s="70"/>
      <c r="F51" s="70"/>
      <c r="G51" s="44"/>
      <c r="H51" s="28"/>
      <c r="I51" s="94"/>
      <c r="J51" s="100"/>
      <c r="K51" s="45"/>
      <c r="L51" s="93"/>
      <c r="M51" s="38"/>
      <c r="N51" s="38"/>
      <c r="O51" s="70"/>
      <c r="P51" s="65"/>
      <c r="Q51" s="388"/>
      <c r="R51" s="866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</row>
    <row r="52" spans="1:17" ht="10.5" customHeight="1">
      <c r="A52" s="349"/>
      <c r="B52" s="350"/>
      <c r="C52" s="350"/>
      <c r="D52" s="350"/>
      <c r="E52" s="350"/>
      <c r="F52" s="350"/>
      <c r="G52" s="351"/>
      <c r="H52" s="351"/>
      <c r="I52" s="351"/>
      <c r="J52" s="350"/>
      <c r="K52" s="350"/>
      <c r="L52" s="350"/>
      <c r="M52" s="350"/>
      <c r="N52" s="350"/>
      <c r="O52" s="350"/>
      <c r="P52" s="350"/>
      <c r="Q52" s="350"/>
    </row>
    <row r="53" spans="1:17" ht="9" customHeight="1">
      <c r="A53" s="349"/>
      <c r="B53" s="350"/>
      <c r="C53" s="350"/>
      <c r="D53" s="350"/>
      <c r="E53" s="350"/>
      <c r="F53" s="350"/>
      <c r="G53" s="351"/>
      <c r="H53" s="351"/>
      <c r="I53" s="351"/>
      <c r="J53" s="350"/>
      <c r="K53" s="350"/>
      <c r="L53" s="350"/>
      <c r="M53" s="350"/>
      <c r="N53" s="350"/>
      <c r="O53" s="352" t="s">
        <v>305</v>
      </c>
      <c r="P53" s="353" t="s">
        <v>375</v>
      </c>
      <c r="Q53" s="350"/>
    </row>
    <row r="54" spans="1:17" ht="5.25" customHeight="1">
      <c r="A54" s="350"/>
      <c r="B54" s="350"/>
      <c r="C54" s="350"/>
      <c r="D54" s="350"/>
      <c r="E54" s="350"/>
      <c r="F54" s="350"/>
      <c r="G54" s="351"/>
      <c r="H54" s="351"/>
      <c r="I54" s="351"/>
      <c r="J54" s="350"/>
      <c r="K54" s="350"/>
      <c r="L54" s="350"/>
      <c r="M54" s="350"/>
      <c r="N54" s="350"/>
      <c r="O54" s="350"/>
      <c r="P54" s="350"/>
      <c r="Q54" s="350"/>
    </row>
    <row r="55" s="866" customFormat="1" ht="165.75" customHeight="1"/>
    <row r="56" spans="7:9" s="866" customFormat="1" ht="12">
      <c r="G56" s="865"/>
      <c r="H56" s="865"/>
      <c r="I56" s="865"/>
    </row>
    <row r="57" spans="7:9" s="866" customFormat="1" ht="12">
      <c r="G57" s="865"/>
      <c r="H57" s="865"/>
      <c r="I57" s="865"/>
    </row>
    <row r="58" spans="7:9" s="866" customFormat="1" ht="12">
      <c r="G58" s="865"/>
      <c r="H58" s="865"/>
      <c r="I58" s="865"/>
    </row>
    <row r="59" spans="7:9" s="866" customFormat="1" ht="12">
      <c r="G59" s="865"/>
      <c r="H59" s="865"/>
      <c r="I59" s="865"/>
    </row>
    <row r="60" spans="7:9" s="866" customFormat="1" ht="12">
      <c r="G60" s="865"/>
      <c r="H60" s="865"/>
      <c r="I60" s="865"/>
    </row>
    <row r="61" spans="7:9" s="866" customFormat="1" ht="12">
      <c r="G61" s="865"/>
      <c r="H61" s="865"/>
      <c r="I61" s="865"/>
    </row>
    <row r="62" spans="7:9" s="866" customFormat="1" ht="12">
      <c r="G62" s="865"/>
      <c r="H62" s="865"/>
      <c r="I62" s="865"/>
    </row>
    <row r="63" spans="7:9" s="866" customFormat="1" ht="12">
      <c r="G63" s="865"/>
      <c r="H63" s="865"/>
      <c r="I63" s="865"/>
    </row>
    <row r="64" spans="7:9" s="866" customFormat="1" ht="12">
      <c r="G64" s="865"/>
      <c r="H64" s="865"/>
      <c r="I64" s="865"/>
    </row>
    <row r="65" spans="7:9" s="866" customFormat="1" ht="12">
      <c r="G65" s="865"/>
      <c r="H65" s="865"/>
      <c r="I65" s="865"/>
    </row>
    <row r="66" spans="7:9" s="866" customFormat="1" ht="12">
      <c r="G66" s="865"/>
      <c r="H66" s="865"/>
      <c r="I66" s="865"/>
    </row>
    <row r="67" spans="7:9" s="866" customFormat="1" ht="12">
      <c r="G67" s="865"/>
      <c r="H67" s="865"/>
      <c r="I67" s="865"/>
    </row>
    <row r="68" spans="7:9" s="866" customFormat="1" ht="12">
      <c r="G68" s="865"/>
      <c r="H68" s="865"/>
      <c r="I68" s="865"/>
    </row>
    <row r="69" spans="7:9" s="866" customFormat="1" ht="12">
      <c r="G69" s="865"/>
      <c r="H69" s="865"/>
      <c r="I69" s="865"/>
    </row>
    <row r="70" spans="7:9" s="866" customFormat="1" ht="12">
      <c r="G70" s="865"/>
      <c r="H70" s="865"/>
      <c r="I70" s="865"/>
    </row>
    <row r="71" spans="7:9" s="866" customFormat="1" ht="12">
      <c r="G71" s="865"/>
      <c r="H71" s="865"/>
      <c r="I71" s="865"/>
    </row>
    <row r="72" spans="7:9" s="866" customFormat="1" ht="12">
      <c r="G72" s="865"/>
      <c r="H72" s="865"/>
      <c r="I72" s="865"/>
    </row>
    <row r="73" spans="7:9" s="866" customFormat="1" ht="12">
      <c r="G73" s="865"/>
      <c r="H73" s="865"/>
      <c r="I73" s="865"/>
    </row>
    <row r="74" spans="7:9" s="866" customFormat="1" ht="12">
      <c r="G74" s="865"/>
      <c r="H74" s="865"/>
      <c r="I74" s="865"/>
    </row>
    <row r="75" spans="7:9" s="866" customFormat="1" ht="12">
      <c r="G75" s="865"/>
      <c r="H75" s="865"/>
      <c r="I75" s="865"/>
    </row>
    <row r="76" spans="7:9" s="866" customFormat="1" ht="12">
      <c r="G76" s="865"/>
      <c r="H76" s="865"/>
      <c r="I76" s="865"/>
    </row>
    <row r="77" spans="7:9" s="866" customFormat="1" ht="12">
      <c r="G77" s="865"/>
      <c r="H77" s="865"/>
      <c r="I77" s="865"/>
    </row>
    <row r="78" spans="7:9" s="866" customFormat="1" ht="12">
      <c r="G78" s="865"/>
      <c r="H78" s="865"/>
      <c r="I78" s="865"/>
    </row>
    <row r="79" spans="7:9" s="866" customFormat="1" ht="12">
      <c r="G79" s="865"/>
      <c r="H79" s="865"/>
      <c r="I79" s="865"/>
    </row>
    <row r="80" spans="7:9" s="866" customFormat="1" ht="12">
      <c r="G80" s="865"/>
      <c r="H80" s="865"/>
      <c r="I80" s="865"/>
    </row>
    <row r="81" spans="7:9" s="866" customFormat="1" ht="12">
      <c r="G81" s="865"/>
      <c r="H81" s="865"/>
      <c r="I81" s="865"/>
    </row>
    <row r="82" spans="7:9" s="866" customFormat="1" ht="12">
      <c r="G82" s="865"/>
      <c r="H82" s="865"/>
      <c r="I82" s="865"/>
    </row>
    <row r="83" spans="7:9" s="866" customFormat="1" ht="12">
      <c r="G83" s="865"/>
      <c r="H83" s="865"/>
      <c r="I83" s="865"/>
    </row>
    <row r="84" spans="7:9" s="866" customFormat="1" ht="12">
      <c r="G84" s="865"/>
      <c r="H84" s="865"/>
      <c r="I84" s="865"/>
    </row>
    <row r="85" spans="7:9" s="866" customFormat="1" ht="12">
      <c r="G85" s="865"/>
      <c r="H85" s="865"/>
      <c r="I85" s="865"/>
    </row>
    <row r="86" spans="7:9" s="866" customFormat="1" ht="12">
      <c r="G86" s="865"/>
      <c r="H86" s="865"/>
      <c r="I86" s="865"/>
    </row>
    <row r="87" spans="7:9" s="866" customFormat="1" ht="12">
      <c r="G87" s="865"/>
      <c r="H87" s="865"/>
      <c r="I87" s="865"/>
    </row>
    <row r="88" spans="7:9" s="866" customFormat="1" ht="12">
      <c r="G88" s="865"/>
      <c r="H88" s="865"/>
      <c r="I88" s="865"/>
    </row>
    <row r="89" spans="7:9" s="866" customFormat="1" ht="12">
      <c r="G89" s="865"/>
      <c r="H89" s="865"/>
      <c r="I89" s="865"/>
    </row>
    <row r="90" spans="7:9" s="866" customFormat="1" ht="12">
      <c r="G90" s="865"/>
      <c r="H90" s="865"/>
      <c r="I90" s="865"/>
    </row>
    <row r="91" spans="7:9" s="866" customFormat="1" ht="12">
      <c r="G91" s="865"/>
      <c r="H91" s="865"/>
      <c r="I91" s="865"/>
    </row>
    <row r="92" spans="7:9" s="866" customFormat="1" ht="12">
      <c r="G92" s="865"/>
      <c r="H92" s="865"/>
      <c r="I92" s="865"/>
    </row>
    <row r="93" spans="7:9" s="866" customFormat="1" ht="12">
      <c r="G93" s="865"/>
      <c r="H93" s="865"/>
      <c r="I93" s="865"/>
    </row>
    <row r="94" spans="7:9" s="866" customFormat="1" ht="12">
      <c r="G94" s="865"/>
      <c r="H94" s="865"/>
      <c r="I94" s="865"/>
    </row>
    <row r="95" spans="7:9" s="866" customFormat="1" ht="12">
      <c r="G95" s="865"/>
      <c r="H95" s="865"/>
      <c r="I95" s="865"/>
    </row>
    <row r="96" spans="7:9" s="866" customFormat="1" ht="12">
      <c r="G96" s="865"/>
      <c r="H96" s="865"/>
      <c r="I96" s="865"/>
    </row>
    <row r="97" spans="7:9" s="866" customFormat="1" ht="12">
      <c r="G97" s="865"/>
      <c r="H97" s="865"/>
      <c r="I97" s="865"/>
    </row>
    <row r="98" spans="7:9" s="866" customFormat="1" ht="12">
      <c r="G98" s="865"/>
      <c r="H98" s="865"/>
      <c r="I98" s="865"/>
    </row>
    <row r="99" spans="7:9" s="866" customFormat="1" ht="12">
      <c r="G99" s="865"/>
      <c r="H99" s="865"/>
      <c r="I99" s="865"/>
    </row>
    <row r="100" spans="7:9" s="866" customFormat="1" ht="12">
      <c r="G100" s="865"/>
      <c r="H100" s="865"/>
      <c r="I100" s="865"/>
    </row>
    <row r="101" spans="7:9" s="866" customFormat="1" ht="12">
      <c r="G101" s="865"/>
      <c r="H101" s="865"/>
      <c r="I101" s="865"/>
    </row>
    <row r="102" spans="7:9" s="866" customFormat="1" ht="12">
      <c r="G102" s="865"/>
      <c r="H102" s="865"/>
      <c r="I102" s="865"/>
    </row>
    <row r="103" spans="7:9" s="866" customFormat="1" ht="12">
      <c r="G103" s="865"/>
      <c r="H103" s="865"/>
      <c r="I103" s="865"/>
    </row>
    <row r="104" spans="7:9" s="866" customFormat="1" ht="12">
      <c r="G104" s="865"/>
      <c r="H104" s="865"/>
      <c r="I104" s="865"/>
    </row>
  </sheetData>
  <sheetProtection password="CC1A" sheet="1" objects="1" scenarios="1"/>
  <mergeCells count="1">
    <mergeCell ref="K1:L1"/>
  </mergeCells>
  <printOptions/>
  <pageMargins left="0.3937007874015748" right="0.07874015748031496" top="0.07874015748031496" bottom="1" header="0" footer="0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6"/>
  <sheetViews>
    <sheetView showGridLines="0" showRowColHeaders="0" zoomScale="90" zoomScaleNormal="90" zoomScalePageLayoutView="0" workbookViewId="0" topLeftCell="A52">
      <selection activeCell="O50" sqref="O50"/>
    </sheetView>
  </sheetViews>
  <sheetFormatPr defaultColWidth="11.00390625" defaultRowHeight="12"/>
  <cols>
    <col min="1" max="1" width="1.12109375" style="2" customWidth="1"/>
    <col min="2" max="2" width="2.00390625" style="2" customWidth="1"/>
    <col min="3" max="3" width="12.25390625" style="2" customWidth="1"/>
    <col min="4" max="4" width="2.375" style="2" customWidth="1"/>
    <col min="5" max="5" width="6.75390625" style="2" customWidth="1"/>
    <col min="6" max="6" width="5.125" style="2" customWidth="1"/>
    <col min="7" max="7" width="4.375" style="2" customWidth="1"/>
    <col min="8" max="8" width="3.375" style="2" customWidth="1"/>
    <col min="9" max="9" width="5.375" style="2" customWidth="1"/>
    <col min="10" max="10" width="4.375" style="2" customWidth="1"/>
    <col min="11" max="11" width="6.125" style="2" customWidth="1"/>
    <col min="12" max="12" width="5.125" style="2" customWidth="1"/>
    <col min="13" max="13" width="5.75390625" style="2" customWidth="1"/>
    <col min="14" max="14" width="4.875" style="2" customWidth="1"/>
    <col min="15" max="15" width="21.125" style="2" customWidth="1"/>
    <col min="16" max="16" width="6.375" style="2" customWidth="1"/>
    <col min="17" max="17" width="5.00390625" style="2" customWidth="1"/>
    <col min="18" max="18" width="5.75390625" style="2" customWidth="1"/>
    <col min="19" max="19" width="3.125" style="2" customWidth="1"/>
    <col min="20" max="20" width="1.00390625" style="2" customWidth="1"/>
    <col min="21" max="21" width="10.875" style="2" customWidth="1"/>
    <col min="22" max="23" width="0.74609375" style="2" customWidth="1"/>
    <col min="24" max="24" width="113.125" style="147" customWidth="1"/>
    <col min="25" max="49" width="11.375" style="147" customWidth="1"/>
    <col min="50" max="16384" width="11.375" style="2" customWidth="1"/>
  </cols>
  <sheetData>
    <row r="1" spans="1:24" s="436" customFormat="1" ht="15.75">
      <c r="A1" s="806"/>
      <c r="B1" s="807" t="s">
        <v>169</v>
      </c>
      <c r="C1" s="806"/>
      <c r="D1" s="807"/>
      <c r="E1" s="808"/>
      <c r="F1" s="808"/>
      <c r="G1" s="808"/>
      <c r="H1" s="808"/>
      <c r="I1" s="808"/>
      <c r="J1" s="808"/>
      <c r="K1" s="808"/>
      <c r="L1" s="809"/>
      <c r="M1" s="806"/>
      <c r="N1" s="810"/>
      <c r="O1" s="811" t="s">
        <v>179</v>
      </c>
      <c r="P1" s="993">
        <f ca="1">TODAY()</f>
        <v>41416</v>
      </c>
      <c r="Q1" s="994"/>
      <c r="R1" s="994"/>
      <c r="S1" s="810"/>
      <c r="T1" s="810"/>
      <c r="U1" s="810"/>
      <c r="V1" s="806"/>
      <c r="W1" s="806"/>
      <c r="X1" s="147"/>
    </row>
    <row r="2" spans="1:24" s="436" customFormat="1" ht="12.75">
      <c r="A2" s="806"/>
      <c r="B2" s="812" t="str">
        <f>IF('1-Reanim'!B6="","",'1-Reanim'!B6)</f>
        <v>Antonio Cuñarro</v>
      </c>
      <c r="C2" s="806"/>
      <c r="D2" s="813"/>
      <c r="E2" s="806"/>
      <c r="F2" s="806"/>
      <c r="G2" s="810"/>
      <c r="H2" s="806"/>
      <c r="I2" s="814" t="s">
        <v>59</v>
      </c>
      <c r="J2" s="995">
        <f>Paciente!H28</f>
        <v>1.94</v>
      </c>
      <c r="K2" s="996"/>
      <c r="L2" s="810"/>
      <c r="M2" s="810"/>
      <c r="N2" s="814" t="str">
        <f>IF('1-Reanim'!K6="","","Edad:")</f>
        <v>Edad:</v>
      </c>
      <c r="O2" s="817">
        <f>IF('1-Reanim'!J6="","",'1-Reanim'!J6)</f>
        <v>4089</v>
      </c>
      <c r="P2" s="818" t="str">
        <f>IF('1-Reanim'!K6="","","días de vida")</f>
        <v>días de vida</v>
      </c>
      <c r="Q2" s="818"/>
      <c r="R2" s="818"/>
      <c r="S2" s="806"/>
      <c r="T2" s="806"/>
      <c r="U2" s="806"/>
      <c r="V2" s="806"/>
      <c r="W2" s="806"/>
      <c r="X2" s="147"/>
    </row>
    <row r="3" spans="1:24" s="436" customFormat="1" ht="12.75">
      <c r="A3" s="806"/>
      <c r="B3" s="812"/>
      <c r="C3" s="806"/>
      <c r="D3" s="813"/>
      <c r="E3" s="806"/>
      <c r="F3" s="806"/>
      <c r="G3" s="810"/>
      <c r="H3" s="806"/>
      <c r="I3" s="814"/>
      <c r="J3" s="815"/>
      <c r="K3" s="816"/>
      <c r="L3" s="810"/>
      <c r="M3" s="810"/>
      <c r="N3" s="814"/>
      <c r="O3" s="817" t="str">
        <f>IF(O2="","Introducir la fecha de nacimiento en la hoja 'Paciente'",IF(O2&lt;0,"¡¡Cuidado: error en la fecha!!",IF(O2&lt;230,"",IF(O2&gt;230,"   ¡¡Edad erronea para un NN !!",""))))</f>
        <v>   ¡¡Edad erronea para un NN !!</v>
      </c>
      <c r="P3" s="814"/>
      <c r="Q3" s="818"/>
      <c r="R3" s="818"/>
      <c r="S3" s="806"/>
      <c r="T3" s="806"/>
      <c r="U3" s="806"/>
      <c r="V3" s="806"/>
      <c r="W3" s="806"/>
      <c r="X3" s="147"/>
    </row>
    <row r="4" spans="1:24" s="436" customFormat="1" ht="33.75" customHeight="1">
      <c r="A4" s="806"/>
      <c r="B4" s="812"/>
      <c r="C4" s="806"/>
      <c r="D4" s="813"/>
      <c r="E4" s="806"/>
      <c r="F4" s="806"/>
      <c r="G4" s="810"/>
      <c r="H4" s="810"/>
      <c r="I4" s="806"/>
      <c r="J4" s="806"/>
      <c r="K4" s="806"/>
      <c r="L4" s="819"/>
      <c r="M4" s="806"/>
      <c r="N4" s="818"/>
      <c r="O4" s="819"/>
      <c r="P4" s="811"/>
      <c r="Q4" s="810"/>
      <c r="R4" s="810"/>
      <c r="S4" s="810"/>
      <c r="T4" s="806"/>
      <c r="U4" s="806"/>
      <c r="V4" s="806"/>
      <c r="W4" s="806"/>
      <c r="X4" s="147"/>
    </row>
    <row r="5" spans="1:24" s="436" customFormat="1" ht="9" customHeight="1">
      <c r="A5" s="806"/>
      <c r="B5" s="812"/>
      <c r="C5" s="806"/>
      <c r="D5" s="813"/>
      <c r="E5" s="806"/>
      <c r="F5" s="806"/>
      <c r="G5" s="810"/>
      <c r="H5" s="810"/>
      <c r="I5" s="810"/>
      <c r="J5" s="810"/>
      <c r="K5" s="814"/>
      <c r="L5" s="819"/>
      <c r="M5" s="806"/>
      <c r="N5" s="818"/>
      <c r="O5" s="806"/>
      <c r="P5" s="811"/>
      <c r="Q5" s="820"/>
      <c r="R5" s="810"/>
      <c r="S5" s="806"/>
      <c r="T5" s="806"/>
      <c r="U5" s="806"/>
      <c r="V5" s="806"/>
      <c r="W5" s="806"/>
      <c r="X5" s="147"/>
    </row>
    <row r="6" spans="1:23" ht="13.5" customHeight="1">
      <c r="A6" s="822"/>
      <c r="B6" s="497" t="s">
        <v>176</v>
      </c>
      <c r="C6" s="498"/>
      <c r="D6" s="498"/>
      <c r="E6" s="499"/>
      <c r="F6" s="499"/>
      <c r="G6" s="525" t="s">
        <v>139</v>
      </c>
      <c r="H6" s="498"/>
      <c r="I6" s="498"/>
      <c r="J6" s="498"/>
      <c r="K6" s="498"/>
      <c r="L6" s="503" t="s">
        <v>182</v>
      </c>
      <c r="M6" s="500"/>
      <c r="N6" s="500"/>
      <c r="O6" s="501"/>
      <c r="P6" s="502" t="s">
        <v>215</v>
      </c>
      <c r="Q6" s="503"/>
      <c r="R6" s="519" t="s">
        <v>183</v>
      </c>
      <c r="S6" s="504"/>
      <c r="T6" s="504"/>
      <c r="U6" s="521" t="s">
        <v>385</v>
      </c>
      <c r="V6" s="822"/>
      <c r="W6" s="822"/>
    </row>
    <row r="7" spans="1:24" s="436" customFormat="1" ht="6" customHeight="1">
      <c r="A7" s="806"/>
      <c r="B7" s="806"/>
      <c r="C7" s="813"/>
      <c r="D7" s="806"/>
      <c r="E7" s="806"/>
      <c r="F7" s="810"/>
      <c r="G7" s="810"/>
      <c r="H7" s="810"/>
      <c r="I7" s="810"/>
      <c r="J7" s="814"/>
      <c r="K7" s="819"/>
      <c r="L7" s="806"/>
      <c r="M7" s="818"/>
      <c r="N7" s="806"/>
      <c r="O7" s="811"/>
      <c r="P7" s="827"/>
      <c r="Q7" s="806"/>
      <c r="R7" s="813"/>
      <c r="S7" s="806"/>
      <c r="T7" s="806"/>
      <c r="U7" s="806"/>
      <c r="V7" s="806"/>
      <c r="W7" s="806"/>
      <c r="X7" s="147"/>
    </row>
    <row r="8" spans="1:24" s="436" customFormat="1" ht="13.5" customHeight="1">
      <c r="A8" s="806"/>
      <c r="B8" s="600" t="s">
        <v>230</v>
      </c>
      <c r="C8" s="15"/>
      <c r="D8" s="15"/>
      <c r="E8" s="15"/>
      <c r="F8" s="15"/>
      <c r="G8" s="9" t="s">
        <v>37</v>
      </c>
      <c r="H8" s="9"/>
      <c r="I8" s="9"/>
      <c r="J8" s="9"/>
      <c r="K8" s="603"/>
      <c r="L8" s="182" t="s">
        <v>247</v>
      </c>
      <c r="M8" s="182"/>
      <c r="N8" s="603"/>
      <c r="O8" s="74"/>
      <c r="P8" s="456">
        <f>1*J2</f>
        <v>1.94</v>
      </c>
      <c r="Q8" s="278" t="s">
        <v>71</v>
      </c>
      <c r="R8" s="53">
        <f>100*J2</f>
        <v>194</v>
      </c>
      <c r="S8" s="599" t="s">
        <v>72</v>
      </c>
      <c r="T8" s="153"/>
      <c r="U8" s="73" t="s">
        <v>379</v>
      </c>
      <c r="V8" s="806"/>
      <c r="W8" s="806"/>
      <c r="X8" s="147"/>
    </row>
    <row r="9" spans="1:24" s="436" customFormat="1" ht="13.5" customHeight="1">
      <c r="A9" s="806"/>
      <c r="B9" s="600" t="s">
        <v>82</v>
      </c>
      <c r="C9" s="15"/>
      <c r="D9" s="15"/>
      <c r="E9" s="15"/>
      <c r="F9" s="15"/>
      <c r="G9" s="9" t="s">
        <v>38</v>
      </c>
      <c r="H9" s="15"/>
      <c r="I9" s="15"/>
      <c r="J9" s="9"/>
      <c r="K9" s="603"/>
      <c r="L9" s="182" t="s">
        <v>247</v>
      </c>
      <c r="M9" s="182"/>
      <c r="N9" s="603"/>
      <c r="O9" s="74"/>
      <c r="P9" s="39">
        <f>0.35*J2</f>
        <v>0.6789999999999999</v>
      </c>
      <c r="Q9" s="117" t="s">
        <v>71</v>
      </c>
      <c r="R9" s="53">
        <f>35*J2</f>
        <v>67.89999999999999</v>
      </c>
      <c r="S9" s="599" t="s">
        <v>72</v>
      </c>
      <c r="T9" s="183"/>
      <c r="U9" s="73" t="s">
        <v>380</v>
      </c>
      <c r="V9" s="806"/>
      <c r="W9" s="806"/>
      <c r="X9" s="147"/>
    </row>
    <row r="10" spans="1:24" s="436" customFormat="1" ht="12.75">
      <c r="A10" s="810"/>
      <c r="B10" s="810"/>
      <c r="C10" s="810"/>
      <c r="D10" s="810"/>
      <c r="E10" s="814"/>
      <c r="F10" s="819"/>
      <c r="G10" s="806"/>
      <c r="H10" s="818"/>
      <c r="I10" s="806"/>
      <c r="J10" s="811"/>
      <c r="K10" s="810"/>
      <c r="L10" s="810"/>
      <c r="M10" s="810"/>
      <c r="N10" s="810"/>
      <c r="O10" s="814"/>
      <c r="P10" s="819"/>
      <c r="Q10" s="806"/>
      <c r="R10" s="818"/>
      <c r="S10" s="806"/>
      <c r="T10" s="806"/>
      <c r="U10" s="806"/>
      <c r="V10" s="806"/>
      <c r="W10" s="806"/>
      <c r="X10" s="147"/>
    </row>
    <row r="11" spans="1:24" s="436" customFormat="1" ht="12.75">
      <c r="A11" s="806"/>
      <c r="B11" s="812"/>
      <c r="C11" s="806"/>
      <c r="D11" s="813"/>
      <c r="E11" s="806"/>
      <c r="F11" s="806"/>
      <c r="G11" s="810"/>
      <c r="H11" s="810"/>
      <c r="I11" s="810"/>
      <c r="J11" s="810"/>
      <c r="K11" s="814"/>
      <c r="L11" s="819"/>
      <c r="M11" s="806"/>
      <c r="N11" s="818"/>
      <c r="O11" s="806"/>
      <c r="P11" s="811"/>
      <c r="Q11" s="827"/>
      <c r="R11" s="810"/>
      <c r="S11" s="806"/>
      <c r="T11" s="806"/>
      <c r="U11" s="806"/>
      <c r="V11" s="806"/>
      <c r="W11" s="806"/>
      <c r="X11" s="147"/>
    </row>
    <row r="12" spans="1:24" s="436" customFormat="1" ht="12" customHeight="1">
      <c r="A12" s="806"/>
      <c r="B12" s="711" t="s">
        <v>265</v>
      </c>
      <c r="C12" s="710"/>
      <c r="D12" s="498"/>
      <c r="E12" s="499"/>
      <c r="F12" s="499"/>
      <c r="G12" s="810"/>
      <c r="H12" s="810"/>
      <c r="I12" s="810"/>
      <c r="J12" s="810"/>
      <c r="K12" s="814"/>
      <c r="L12" s="819"/>
      <c r="M12" s="806"/>
      <c r="N12" s="818"/>
      <c r="O12" s="806"/>
      <c r="P12" s="811"/>
      <c r="Q12" s="827"/>
      <c r="R12" s="810"/>
      <c r="S12" s="806"/>
      <c r="T12" s="806"/>
      <c r="U12" s="806"/>
      <c r="V12" s="806"/>
      <c r="W12" s="806"/>
      <c r="X12" s="147"/>
    </row>
    <row r="13" spans="1:24" s="436" customFormat="1" ht="6" customHeight="1">
      <c r="A13" s="806"/>
      <c r="B13" s="806"/>
      <c r="C13" s="813"/>
      <c r="D13" s="806"/>
      <c r="E13" s="806"/>
      <c r="F13" s="810"/>
      <c r="G13" s="810"/>
      <c r="H13" s="810"/>
      <c r="I13" s="810"/>
      <c r="J13" s="814"/>
      <c r="K13" s="819"/>
      <c r="L13" s="806"/>
      <c r="M13" s="818"/>
      <c r="N13" s="806"/>
      <c r="O13" s="811"/>
      <c r="P13" s="827"/>
      <c r="Q13" s="806"/>
      <c r="R13" s="813"/>
      <c r="S13" s="806"/>
      <c r="T13" s="806"/>
      <c r="U13" s="806"/>
      <c r="V13" s="806"/>
      <c r="W13" s="806"/>
      <c r="X13" s="147"/>
    </row>
    <row r="14" spans="1:24" s="436" customFormat="1" ht="12.75">
      <c r="A14" s="806"/>
      <c r="B14" s="11" t="s">
        <v>79</v>
      </c>
      <c r="C14" s="12"/>
      <c r="D14" s="602"/>
      <c r="E14" s="13"/>
      <c r="F14" s="13"/>
      <c r="G14" s="13" t="s">
        <v>237</v>
      </c>
      <c r="H14" s="13"/>
      <c r="I14" s="13"/>
      <c r="J14" s="13"/>
      <c r="K14" s="602"/>
      <c r="L14" s="130" t="s">
        <v>239</v>
      </c>
      <c r="M14" s="13"/>
      <c r="N14" s="49"/>
      <c r="O14" s="614"/>
      <c r="P14" s="611">
        <f>1*J2</f>
        <v>1.94</v>
      </c>
      <c r="Q14" s="604" t="s">
        <v>71</v>
      </c>
      <c r="R14" s="41">
        <f>20*J2</f>
        <v>38.8</v>
      </c>
      <c r="S14" s="49" t="s">
        <v>72</v>
      </c>
      <c r="T14" s="444"/>
      <c r="U14" s="75" t="s">
        <v>382</v>
      </c>
      <c r="V14" s="806"/>
      <c r="W14" s="806"/>
      <c r="X14" s="147"/>
    </row>
    <row r="15" spans="1:24" s="436" customFormat="1" ht="12.75">
      <c r="A15" s="806"/>
      <c r="B15" s="118" t="s">
        <v>147</v>
      </c>
      <c r="C15" s="27"/>
      <c r="E15" s="119"/>
      <c r="F15" s="119"/>
      <c r="H15" s="17" t="s">
        <v>34</v>
      </c>
      <c r="I15" s="27"/>
      <c r="J15" s="18"/>
      <c r="K15" s="588"/>
      <c r="L15" s="595"/>
      <c r="M15" s="612"/>
      <c r="N15" s="23"/>
      <c r="O15" s="615"/>
      <c r="P15" s="609"/>
      <c r="Q15" s="609"/>
      <c r="R15" s="608"/>
      <c r="S15" s="609"/>
      <c r="T15" s="76"/>
      <c r="U15" s="76"/>
      <c r="V15" s="806"/>
      <c r="W15" s="806"/>
      <c r="X15" s="147"/>
    </row>
    <row r="16" spans="1:24" s="436" customFormat="1" ht="12.75">
      <c r="A16" s="806"/>
      <c r="B16" s="54"/>
      <c r="C16" s="906"/>
      <c r="D16" s="133" t="s">
        <v>331</v>
      </c>
      <c r="E16" s="906"/>
      <c r="F16" s="906"/>
      <c r="G16" s="133"/>
      <c r="H16" s="7"/>
      <c r="I16" s="7"/>
      <c r="J16" s="70"/>
      <c r="K16" s="70"/>
      <c r="L16" s="70"/>
      <c r="M16" s="70"/>
      <c r="N16" s="70"/>
      <c r="O16" s="616"/>
      <c r="P16" s="96"/>
      <c r="Q16" s="96"/>
      <c r="R16" s="610"/>
      <c r="S16" s="96"/>
      <c r="T16" s="71"/>
      <c r="U16" s="71"/>
      <c r="V16" s="806"/>
      <c r="W16" s="806"/>
      <c r="X16" s="147"/>
    </row>
    <row r="17" spans="1:24" s="436" customFormat="1" ht="3.75" customHeight="1">
      <c r="A17" s="806"/>
      <c r="B17" s="806"/>
      <c r="C17" s="811"/>
      <c r="D17" s="827"/>
      <c r="E17" s="806"/>
      <c r="F17" s="811"/>
      <c r="G17" s="827"/>
      <c r="H17" s="806"/>
      <c r="I17" s="811"/>
      <c r="J17" s="827"/>
      <c r="K17" s="806"/>
      <c r="L17" s="811"/>
      <c r="M17" s="827"/>
      <c r="N17" s="806"/>
      <c r="O17" s="811"/>
      <c r="P17" s="827"/>
      <c r="Q17" s="806"/>
      <c r="R17" s="811"/>
      <c r="S17" s="806"/>
      <c r="T17" s="806"/>
      <c r="U17" s="806"/>
      <c r="V17" s="806"/>
      <c r="W17" s="806"/>
      <c r="X17" s="147"/>
    </row>
    <row r="18" spans="1:24" s="436" customFormat="1" ht="12.75">
      <c r="A18" s="806"/>
      <c r="B18" s="11" t="s">
        <v>80</v>
      </c>
      <c r="C18" s="12"/>
      <c r="D18" s="602"/>
      <c r="E18" s="13"/>
      <c r="F18" s="13"/>
      <c r="G18" s="13" t="s">
        <v>101</v>
      </c>
      <c r="H18" s="13"/>
      <c r="I18" s="13"/>
      <c r="J18" s="13"/>
      <c r="K18" s="114"/>
      <c r="L18" s="619" t="s">
        <v>50</v>
      </c>
      <c r="M18" s="602"/>
      <c r="N18" s="49"/>
      <c r="O18" s="14"/>
      <c r="P18" s="442">
        <f>0.75*J2</f>
        <v>1.455</v>
      </c>
      <c r="Q18" s="293" t="s">
        <v>71</v>
      </c>
      <c r="R18" s="41">
        <f>15*J2</f>
        <v>29.099999999999998</v>
      </c>
      <c r="S18" s="49" t="s">
        <v>72</v>
      </c>
      <c r="T18" s="444"/>
      <c r="U18" s="75" t="s">
        <v>383</v>
      </c>
      <c r="V18" s="806"/>
      <c r="W18" s="806"/>
      <c r="X18" s="147"/>
    </row>
    <row r="19" spans="1:24" s="436" customFormat="1" ht="12.75">
      <c r="A19" s="806"/>
      <c r="B19" s="589" t="s">
        <v>414</v>
      </c>
      <c r="C19" s="70"/>
      <c r="D19" s="601"/>
      <c r="E19" s="7"/>
      <c r="F19" s="7"/>
      <c r="G19" s="68"/>
      <c r="H19" s="7" t="s">
        <v>278</v>
      </c>
      <c r="I19" s="7"/>
      <c r="J19" s="7"/>
      <c r="K19" s="613"/>
      <c r="L19" s="52"/>
      <c r="M19" s="606"/>
      <c r="N19" s="95"/>
      <c r="O19" s="95"/>
      <c r="P19" s="37"/>
      <c r="Q19" s="120"/>
      <c r="R19" s="55"/>
      <c r="S19" s="95"/>
      <c r="T19" s="136"/>
      <c r="U19" s="72"/>
      <c r="V19" s="806"/>
      <c r="W19" s="806"/>
      <c r="X19" s="147"/>
    </row>
    <row r="20" spans="1:24" s="436" customFormat="1" ht="3.75" customHeight="1">
      <c r="A20" s="806"/>
      <c r="B20" s="806"/>
      <c r="C20" s="811"/>
      <c r="D20" s="827"/>
      <c r="E20" s="806"/>
      <c r="F20" s="811"/>
      <c r="G20" s="827"/>
      <c r="H20" s="806"/>
      <c r="I20" s="811"/>
      <c r="J20" s="827"/>
      <c r="K20" s="806"/>
      <c r="L20" s="811"/>
      <c r="M20" s="827"/>
      <c r="N20" s="806"/>
      <c r="O20" s="811"/>
      <c r="P20" s="827"/>
      <c r="Q20" s="806"/>
      <c r="R20" s="811"/>
      <c r="S20" s="806"/>
      <c r="T20" s="806"/>
      <c r="U20" s="806"/>
      <c r="V20" s="806"/>
      <c r="W20" s="806"/>
      <c r="X20" s="147"/>
    </row>
    <row r="21" spans="1:24" s="436" customFormat="1" ht="12.75">
      <c r="A21" s="806"/>
      <c r="B21" s="630" t="s">
        <v>318</v>
      </c>
      <c r="C21" s="15"/>
      <c r="D21" s="15"/>
      <c r="E21" s="15"/>
      <c r="F21" s="15"/>
      <c r="G21" s="15" t="s">
        <v>106</v>
      </c>
      <c r="H21" s="15"/>
      <c r="I21" s="15"/>
      <c r="J21" s="9"/>
      <c r="K21" s="617"/>
      <c r="L21" s="9" t="s">
        <v>132</v>
      </c>
      <c r="M21" s="618"/>
      <c r="N21" s="599"/>
      <c r="O21" s="16"/>
      <c r="P21" s="459">
        <f>0.2*J2</f>
        <v>0.388</v>
      </c>
      <c r="Q21" s="278" t="s">
        <v>71</v>
      </c>
      <c r="R21" s="620">
        <f>0.1*J2</f>
        <v>0.194</v>
      </c>
      <c r="S21" s="599" t="s">
        <v>72</v>
      </c>
      <c r="T21" s="153"/>
      <c r="U21" s="73" t="s">
        <v>384</v>
      </c>
      <c r="V21" s="806"/>
      <c r="W21" s="806"/>
      <c r="X21" s="147"/>
    </row>
    <row r="22" spans="1:24" s="436" customFormat="1" ht="12.75">
      <c r="A22" s="806"/>
      <c r="B22" s="828"/>
      <c r="C22" s="829"/>
      <c r="D22" s="830"/>
      <c r="E22" s="828"/>
      <c r="F22" s="829"/>
      <c r="G22" s="830"/>
      <c r="H22" s="828"/>
      <c r="I22" s="829"/>
      <c r="J22" s="830"/>
      <c r="K22" s="828"/>
      <c r="L22" s="829"/>
      <c r="M22" s="830"/>
      <c r="N22" s="828"/>
      <c r="O22" s="829"/>
      <c r="P22" s="830"/>
      <c r="Q22" s="828"/>
      <c r="R22" s="829"/>
      <c r="S22" s="828"/>
      <c r="T22" s="828"/>
      <c r="U22" s="828"/>
      <c r="V22" s="806"/>
      <c r="W22" s="806"/>
      <c r="X22" s="147"/>
    </row>
    <row r="23" spans="1:24" s="436" customFormat="1" ht="12.75">
      <c r="A23" s="806"/>
      <c r="B23" s="831"/>
      <c r="C23" s="828"/>
      <c r="D23" s="832"/>
      <c r="E23" s="828"/>
      <c r="F23" s="828"/>
      <c r="G23" s="833"/>
      <c r="H23" s="833"/>
      <c r="I23" s="833"/>
      <c r="J23" s="833"/>
      <c r="K23" s="834"/>
      <c r="L23" s="835"/>
      <c r="M23" s="828"/>
      <c r="N23" s="836"/>
      <c r="O23" s="828"/>
      <c r="P23" s="829"/>
      <c r="Q23" s="830"/>
      <c r="R23" s="833"/>
      <c r="S23" s="828"/>
      <c r="T23" s="828"/>
      <c r="U23" s="828"/>
      <c r="V23" s="806"/>
      <c r="W23" s="806"/>
      <c r="X23" s="147"/>
    </row>
    <row r="24" spans="1:24" s="436" customFormat="1" ht="12" customHeight="1">
      <c r="A24" s="806"/>
      <c r="B24" s="711" t="s">
        <v>144</v>
      </c>
      <c r="C24" s="710"/>
      <c r="D24" s="498"/>
      <c r="E24" s="499"/>
      <c r="F24" s="499"/>
      <c r="G24" s="833"/>
      <c r="H24" s="833"/>
      <c r="I24" s="833"/>
      <c r="J24" s="833"/>
      <c r="K24" s="834"/>
      <c r="L24" s="835"/>
      <c r="M24" s="828"/>
      <c r="N24" s="836"/>
      <c r="O24" s="828"/>
      <c r="P24" s="829"/>
      <c r="Q24" s="830"/>
      <c r="R24" s="833"/>
      <c r="S24" s="828"/>
      <c r="T24" s="828"/>
      <c r="U24" s="828"/>
      <c r="V24" s="806"/>
      <c r="W24" s="806"/>
      <c r="X24" s="147"/>
    </row>
    <row r="25" spans="1:24" s="436" customFormat="1" ht="6" customHeight="1">
      <c r="A25" s="806"/>
      <c r="B25" s="806"/>
      <c r="C25" s="806"/>
      <c r="D25" s="813"/>
      <c r="E25" s="806"/>
      <c r="F25" s="806"/>
      <c r="G25" s="810"/>
      <c r="H25" s="810"/>
      <c r="I25" s="810"/>
      <c r="J25" s="810"/>
      <c r="K25" s="814"/>
      <c r="L25" s="819"/>
      <c r="M25" s="806"/>
      <c r="N25" s="818"/>
      <c r="O25" s="806"/>
      <c r="P25" s="811"/>
      <c r="Q25" s="827"/>
      <c r="R25" s="806"/>
      <c r="S25" s="813"/>
      <c r="T25" s="806"/>
      <c r="U25" s="806"/>
      <c r="V25" s="806"/>
      <c r="W25" s="806"/>
      <c r="X25" s="147"/>
    </row>
    <row r="26" spans="1:24" s="436" customFormat="1" ht="12.75" customHeight="1">
      <c r="A26" s="806"/>
      <c r="B26" s="291" t="s">
        <v>114</v>
      </c>
      <c r="C26" s="440"/>
      <c r="D26" s="441"/>
      <c r="E26" s="128"/>
      <c r="F26" s="128"/>
      <c r="G26" s="130" t="s">
        <v>284</v>
      </c>
      <c r="H26" s="128"/>
      <c r="I26" s="128"/>
      <c r="J26" s="128"/>
      <c r="K26" s="128"/>
      <c r="L26" s="130" t="s">
        <v>184</v>
      </c>
      <c r="M26" s="130"/>
      <c r="N26" s="130"/>
      <c r="O26" s="131"/>
      <c r="P26" s="442">
        <f>1*J2</f>
        <v>1.94</v>
      </c>
      <c r="Q26" s="293" t="s">
        <v>71</v>
      </c>
      <c r="R26" s="443">
        <f>5*J2</f>
        <v>9.7</v>
      </c>
      <c r="S26" s="160" t="s">
        <v>72</v>
      </c>
      <c r="T26" s="444"/>
      <c r="U26" s="413" t="s">
        <v>412</v>
      </c>
      <c r="V26" s="823"/>
      <c r="W26" s="823"/>
      <c r="X26" s="147"/>
    </row>
    <row r="27" spans="1:49" s="10" customFormat="1" ht="13.5" customHeight="1">
      <c r="A27" s="823"/>
      <c r="B27" s="445" t="s">
        <v>308</v>
      </c>
      <c r="C27" s="445"/>
      <c r="D27" s="446"/>
      <c r="E27" s="132"/>
      <c r="F27" s="132"/>
      <c r="G27" s="134" t="s">
        <v>394</v>
      </c>
      <c r="H27" s="132"/>
      <c r="I27" s="132"/>
      <c r="J27" s="132"/>
      <c r="K27" s="132"/>
      <c r="L27" s="134"/>
      <c r="M27" s="134"/>
      <c r="N27" s="134"/>
      <c r="O27" s="136"/>
      <c r="P27" s="135"/>
      <c r="Q27" s="136"/>
      <c r="R27" s="135"/>
      <c r="S27" s="132"/>
      <c r="T27" s="136"/>
      <c r="U27" s="136"/>
      <c r="V27" s="823"/>
      <c r="W27" s="823"/>
      <c r="X27" s="14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</row>
    <row r="28" spans="1:49" s="10" customFormat="1" ht="3" customHeight="1">
      <c r="A28" s="823"/>
      <c r="B28" s="837"/>
      <c r="C28" s="837"/>
      <c r="D28" s="837"/>
      <c r="E28" s="838"/>
      <c r="F28" s="838"/>
      <c r="G28" s="839"/>
      <c r="H28" s="838"/>
      <c r="I28" s="838"/>
      <c r="J28" s="838"/>
      <c r="K28" s="838"/>
      <c r="L28" s="839"/>
      <c r="M28" s="839"/>
      <c r="N28" s="839"/>
      <c r="O28" s="840"/>
      <c r="P28" s="840"/>
      <c r="Q28" s="840"/>
      <c r="R28" s="840"/>
      <c r="S28" s="840"/>
      <c r="T28" s="840"/>
      <c r="U28" s="840"/>
      <c r="V28" s="823"/>
      <c r="W28" s="823"/>
      <c r="X28" s="14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</row>
    <row r="29" spans="1:49" s="10" customFormat="1" ht="13.5" customHeight="1">
      <c r="A29" s="823"/>
      <c r="B29" s="440" t="s">
        <v>198</v>
      </c>
      <c r="C29" s="440"/>
      <c r="D29" s="441"/>
      <c r="E29" s="128"/>
      <c r="F29" s="128"/>
      <c r="G29" s="130" t="s">
        <v>279</v>
      </c>
      <c r="H29" s="128"/>
      <c r="I29" s="128"/>
      <c r="J29" s="128"/>
      <c r="K29" s="128"/>
      <c r="L29" s="130"/>
      <c r="M29" s="130"/>
      <c r="N29" s="130"/>
      <c r="O29" s="128"/>
      <c r="P29" s="442">
        <f>10*J2/20</f>
        <v>0.97</v>
      </c>
      <c r="Q29" s="293" t="s">
        <v>71</v>
      </c>
      <c r="R29" s="586">
        <f>10*J2</f>
        <v>19.4</v>
      </c>
      <c r="S29" s="160" t="s">
        <v>72</v>
      </c>
      <c r="T29" s="444"/>
      <c r="U29" s="413" t="s">
        <v>120</v>
      </c>
      <c r="V29" s="822"/>
      <c r="W29" s="822"/>
      <c r="X29" s="14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</row>
    <row r="30" spans="1:49" s="10" customFormat="1" ht="13.5" customHeight="1">
      <c r="A30" s="823"/>
      <c r="B30" s="445"/>
      <c r="C30" s="132"/>
      <c r="D30" s="446"/>
      <c r="E30" s="132"/>
      <c r="F30" s="132"/>
      <c r="G30" s="134" t="s">
        <v>121</v>
      </c>
      <c r="H30" s="132"/>
      <c r="I30" s="132"/>
      <c r="J30" s="132"/>
      <c r="K30" s="132"/>
      <c r="L30" s="134"/>
      <c r="M30" s="134"/>
      <c r="N30" s="134"/>
      <c r="O30" s="132"/>
      <c r="P30" s="505">
        <f>5*J2/20</f>
        <v>0.485</v>
      </c>
      <c r="Q30" s="271" t="s">
        <v>71</v>
      </c>
      <c r="R30" s="467">
        <f>5*J2</f>
        <v>9.7</v>
      </c>
      <c r="S30" s="163" t="s">
        <v>72</v>
      </c>
      <c r="T30" s="136"/>
      <c r="U30" s="452" t="s">
        <v>48</v>
      </c>
      <c r="V30" s="822"/>
      <c r="W30" s="822"/>
      <c r="X30" s="14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</row>
    <row r="31" spans="1:49" s="10" customFormat="1" ht="3" customHeight="1">
      <c r="A31" s="823"/>
      <c r="B31" s="838"/>
      <c r="C31" s="838"/>
      <c r="D31" s="838"/>
      <c r="E31" s="838"/>
      <c r="F31" s="838"/>
      <c r="G31" s="838"/>
      <c r="H31" s="841"/>
      <c r="I31" s="838"/>
      <c r="J31" s="838"/>
      <c r="K31" s="838"/>
      <c r="L31" s="839"/>
      <c r="M31" s="839"/>
      <c r="N31" s="839"/>
      <c r="O31" s="838"/>
      <c r="P31" s="838"/>
      <c r="Q31" s="838"/>
      <c r="R31" s="838"/>
      <c r="S31" s="838"/>
      <c r="T31" s="838"/>
      <c r="U31" s="838"/>
      <c r="V31" s="823"/>
      <c r="W31" s="823"/>
      <c r="X31" s="14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</row>
    <row r="32" spans="1:49" s="18" customFormat="1" ht="12" customHeight="1">
      <c r="A32" s="826"/>
      <c r="B32" s="661" t="s">
        <v>141</v>
      </c>
      <c r="C32" s="661"/>
      <c r="D32" s="662"/>
      <c r="E32" s="276"/>
      <c r="F32" s="276"/>
      <c r="G32" s="667" t="s">
        <v>100</v>
      </c>
      <c r="H32" s="667"/>
      <c r="I32" s="667"/>
      <c r="J32" s="667"/>
      <c r="K32" s="276"/>
      <c r="L32" s="276"/>
      <c r="M32" s="276"/>
      <c r="N32" s="276"/>
      <c r="O32" s="276"/>
      <c r="P32" s="511"/>
      <c r="Q32" s="663"/>
      <c r="R32" s="585"/>
      <c r="S32" s="664"/>
      <c r="T32" s="665"/>
      <c r="U32" s="666"/>
      <c r="V32" s="824"/>
      <c r="W32" s="824"/>
      <c r="X32" s="147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24" s="436" customFormat="1" ht="12.75">
      <c r="A33" s="806"/>
      <c r="B33" s="806"/>
      <c r="C33" s="811"/>
      <c r="D33" s="827"/>
      <c r="E33" s="806"/>
      <c r="F33" s="811"/>
      <c r="G33" s="827"/>
      <c r="H33" s="806"/>
      <c r="I33" s="811"/>
      <c r="J33" s="827"/>
      <c r="K33" s="806"/>
      <c r="L33" s="811"/>
      <c r="M33" s="827"/>
      <c r="N33" s="806"/>
      <c r="O33" s="811"/>
      <c r="P33" s="827"/>
      <c r="Q33" s="806"/>
      <c r="R33" s="811"/>
      <c r="S33" s="806"/>
      <c r="T33" s="806"/>
      <c r="U33" s="806"/>
      <c r="V33" s="806"/>
      <c r="W33" s="806"/>
      <c r="X33" s="147"/>
    </row>
    <row r="34" spans="1:49" s="10" customFormat="1" ht="12.75" customHeight="1">
      <c r="A34" s="823"/>
      <c r="B34" s="823"/>
      <c r="C34" s="823"/>
      <c r="D34" s="823"/>
      <c r="E34" s="823"/>
      <c r="F34" s="823"/>
      <c r="G34" s="823"/>
      <c r="H34" s="842"/>
      <c r="I34" s="823"/>
      <c r="J34" s="823"/>
      <c r="K34" s="823"/>
      <c r="L34" s="843"/>
      <c r="M34" s="843"/>
      <c r="N34" s="843"/>
      <c r="O34" s="823"/>
      <c r="P34" s="823"/>
      <c r="Q34" s="823"/>
      <c r="R34" s="823"/>
      <c r="S34" s="823"/>
      <c r="T34" s="823"/>
      <c r="U34" s="823"/>
      <c r="V34" s="823"/>
      <c r="W34" s="823"/>
      <c r="X34" s="14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</row>
    <row r="35" spans="1:24" s="436" customFormat="1" ht="12" customHeight="1">
      <c r="A35" s="806"/>
      <c r="B35" s="711" t="s">
        <v>264</v>
      </c>
      <c r="C35" s="710"/>
      <c r="D35" s="498"/>
      <c r="E35" s="499"/>
      <c r="F35" s="499"/>
      <c r="G35" s="833"/>
      <c r="H35" s="833"/>
      <c r="I35" s="833"/>
      <c r="J35" s="833"/>
      <c r="K35" s="834"/>
      <c r="L35" s="835"/>
      <c r="M35" s="828"/>
      <c r="N35" s="836"/>
      <c r="O35" s="828"/>
      <c r="P35" s="829"/>
      <c r="Q35" s="830"/>
      <c r="R35" s="833"/>
      <c r="S35" s="828"/>
      <c r="T35" s="828"/>
      <c r="U35" s="828"/>
      <c r="V35" s="806"/>
      <c r="W35" s="806"/>
      <c r="X35" s="147"/>
    </row>
    <row r="36" spans="1:24" s="436" customFormat="1" ht="6" customHeight="1">
      <c r="A36" s="806"/>
      <c r="B36" s="806"/>
      <c r="C36" s="813"/>
      <c r="D36" s="806"/>
      <c r="E36" s="806"/>
      <c r="F36" s="810"/>
      <c r="G36" s="810"/>
      <c r="H36" s="833"/>
      <c r="I36" s="833"/>
      <c r="J36" s="834"/>
      <c r="K36" s="835"/>
      <c r="L36" s="828"/>
      <c r="M36" s="836"/>
      <c r="N36" s="828"/>
      <c r="O36" s="829"/>
      <c r="P36" s="830"/>
      <c r="Q36" s="828"/>
      <c r="R36" s="832"/>
      <c r="S36" s="828"/>
      <c r="T36" s="828"/>
      <c r="U36" s="828"/>
      <c r="V36" s="806"/>
      <c r="W36" s="806"/>
      <c r="X36" s="147"/>
    </row>
    <row r="37" spans="1:49" s="10" customFormat="1" ht="12" customHeight="1">
      <c r="A37" s="823"/>
      <c r="B37" s="440" t="s">
        <v>65</v>
      </c>
      <c r="C37" s="440"/>
      <c r="D37" s="441"/>
      <c r="E37" s="128"/>
      <c r="F37" s="128"/>
      <c r="G37" s="130">
        <f>IF(Paciente!O21&gt;35,"RNAT  0.5-1,5 mg/Kg ev. lento cada 8 hr.   (se puede administrar vo. a 2mg/kg/ 8hr)","")</f>
      </c>
      <c r="H37" s="128"/>
      <c r="I37" s="128"/>
      <c r="J37" s="128"/>
      <c r="K37" s="128"/>
      <c r="L37" s="130"/>
      <c r="M37" s="130"/>
      <c r="N37" s="130"/>
      <c r="O37" s="128"/>
      <c r="P37" s="997">
        <f>IF(Paciente!O21&gt;35,J2/10,"")</f>
      </c>
      <c r="Q37" s="998"/>
      <c r="R37" s="999">
        <f>IF(Paciente!O21&gt;35,J2,"")</f>
      </c>
      <c r="S37" s="1000"/>
      <c r="T37" s="444"/>
      <c r="U37" s="413">
        <f>IF(Paciente!O21&gt;35,"1 mg/Kg","")</f>
      </c>
      <c r="V37" s="823"/>
      <c r="W37" s="823"/>
      <c r="X37" s="14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</row>
    <row r="38" spans="1:49" s="10" customFormat="1" ht="10.5" customHeight="1">
      <c r="A38" s="823"/>
      <c r="B38" s="449"/>
      <c r="C38" s="776" t="s">
        <v>396</v>
      </c>
      <c r="D38" s="777"/>
      <c r="E38" s="137"/>
      <c r="F38" s="137"/>
      <c r="G38" s="138" t="str">
        <f>IF(Paciente!O21&lt;36,"RNPT 0.5  mg/Kg ev. lento cada 12 hr.            Ranit. 1 ml + 4 ml SF =&gt;  2 mg/ml","")</f>
        <v>RNPT 0.5  mg/Kg ev. lento cada 12 hr.            Ranit. 1 ml + 4 ml SF =&gt;  2 mg/ml</v>
      </c>
      <c r="H38" s="137"/>
      <c r="I38" s="137"/>
      <c r="J38" s="137"/>
      <c r="K38" s="137"/>
      <c r="L38" s="138"/>
      <c r="M38" s="138"/>
      <c r="N38" s="138"/>
      <c r="O38" s="137"/>
      <c r="P38" s="1001">
        <f>IF(Paciente!O21&lt;36,0.5*J2/2,"")</f>
        <v>0.485</v>
      </c>
      <c r="Q38" s="1002"/>
      <c r="R38" s="1003">
        <f>IF(Paciente!O21&lt;36,0.5*J2,"")</f>
        <v>0.97</v>
      </c>
      <c r="S38" s="1004"/>
      <c r="T38" s="567"/>
      <c r="U38" s="451" t="str">
        <f>IF(Paciente!O21&lt;36,"0,5 mg/Kg","")</f>
        <v>0,5 mg/Kg</v>
      </c>
      <c r="V38" s="823"/>
      <c r="W38" s="823"/>
      <c r="X38" s="14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</row>
    <row r="39" spans="1:49" s="10" customFormat="1" ht="10.5" customHeight="1">
      <c r="A39" s="823"/>
      <c r="B39" s="730"/>
      <c r="C39" s="778" t="s">
        <v>397</v>
      </c>
      <c r="D39" s="773"/>
      <c r="E39" s="132"/>
      <c r="F39" s="132"/>
      <c r="G39" s="134"/>
      <c r="H39" s="132"/>
      <c r="I39" s="132"/>
      <c r="J39" s="132"/>
      <c r="K39" s="132"/>
      <c r="L39" s="134"/>
      <c r="M39" s="134"/>
      <c r="N39" s="134"/>
      <c r="O39" s="132"/>
      <c r="P39" s="505"/>
      <c r="Q39" s="271"/>
      <c r="R39" s="774"/>
      <c r="S39" s="163"/>
      <c r="T39" s="775"/>
      <c r="U39" s="452"/>
      <c r="V39" s="823"/>
      <c r="W39" s="823"/>
      <c r="X39" s="14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</row>
    <row r="40" spans="1:49" s="10" customFormat="1" ht="3" customHeight="1">
      <c r="A40" s="823"/>
      <c r="B40" s="838"/>
      <c r="C40" s="838"/>
      <c r="D40" s="838"/>
      <c r="E40" s="838"/>
      <c r="F40" s="838"/>
      <c r="G40" s="838"/>
      <c r="H40" s="841"/>
      <c r="I40" s="838"/>
      <c r="J40" s="838"/>
      <c r="K40" s="838"/>
      <c r="L40" s="839"/>
      <c r="M40" s="839"/>
      <c r="N40" s="839"/>
      <c r="O40" s="838"/>
      <c r="P40" s="838"/>
      <c r="Q40" s="838"/>
      <c r="R40" s="838"/>
      <c r="S40" s="838"/>
      <c r="T40" s="838"/>
      <c r="U40" s="838"/>
      <c r="V40" s="823"/>
      <c r="W40" s="823"/>
      <c r="X40" s="14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</row>
    <row r="41" spans="1:49" s="10" customFormat="1" ht="12" customHeight="1">
      <c r="A41" s="823"/>
      <c r="B41" s="281" t="s">
        <v>332</v>
      </c>
      <c r="C41" s="281"/>
      <c r="D41" s="282"/>
      <c r="E41" s="180"/>
      <c r="F41" s="180"/>
      <c r="G41" s="182" t="s">
        <v>35</v>
      </c>
      <c r="H41" s="180"/>
      <c r="I41" s="180"/>
      <c r="J41" s="180"/>
      <c r="K41" s="180"/>
      <c r="L41" s="182" t="s">
        <v>360</v>
      </c>
      <c r="M41" s="182"/>
      <c r="N41" s="182"/>
      <c r="O41" s="180"/>
      <c r="P41" s="989">
        <f>J2/4</f>
        <v>0.485</v>
      </c>
      <c r="Q41" s="990" t="s">
        <v>71</v>
      </c>
      <c r="R41" s="991">
        <f>J2/2</f>
        <v>0.97</v>
      </c>
      <c r="S41" s="992"/>
      <c r="T41" s="153"/>
      <c r="U41" s="184" t="s">
        <v>66</v>
      </c>
      <c r="V41" s="822"/>
      <c r="W41" s="822"/>
      <c r="X41" s="14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</row>
    <row r="42" spans="1:24" s="436" customFormat="1" ht="12.75">
      <c r="A42" s="806"/>
      <c r="B42" s="828"/>
      <c r="C42" s="829"/>
      <c r="D42" s="830"/>
      <c r="E42" s="828"/>
      <c r="F42" s="829"/>
      <c r="G42" s="830"/>
      <c r="H42" s="828"/>
      <c r="I42" s="829"/>
      <c r="J42" s="830"/>
      <c r="K42" s="828"/>
      <c r="L42" s="829"/>
      <c r="M42" s="830"/>
      <c r="N42" s="828"/>
      <c r="O42" s="829"/>
      <c r="P42" s="830"/>
      <c r="Q42" s="828"/>
      <c r="R42" s="829"/>
      <c r="S42" s="828"/>
      <c r="T42" s="828"/>
      <c r="U42" s="828"/>
      <c r="V42" s="806"/>
      <c r="W42" s="806"/>
      <c r="X42" s="147"/>
    </row>
    <row r="43" spans="1:24" s="436" customFormat="1" ht="21.75" customHeight="1">
      <c r="A43" s="806"/>
      <c r="B43" s="828"/>
      <c r="C43" s="829"/>
      <c r="D43" s="830"/>
      <c r="E43" s="828"/>
      <c r="F43" s="829"/>
      <c r="G43" s="830"/>
      <c r="H43" s="828"/>
      <c r="I43" s="829"/>
      <c r="J43" s="830"/>
      <c r="K43" s="828"/>
      <c r="L43" s="829"/>
      <c r="M43" s="830"/>
      <c r="N43" s="828"/>
      <c r="O43" s="829"/>
      <c r="P43" s="830"/>
      <c r="Q43" s="828"/>
      <c r="R43" s="829"/>
      <c r="S43" s="828"/>
      <c r="T43" s="828"/>
      <c r="U43" s="828"/>
      <c r="V43" s="806"/>
      <c r="W43" s="806"/>
      <c r="X43" s="147"/>
    </row>
    <row r="44" spans="1:24" s="436" customFormat="1" ht="12" customHeight="1">
      <c r="A44" s="806"/>
      <c r="B44" s="711" t="s">
        <v>143</v>
      </c>
      <c r="C44" s="710"/>
      <c r="D44" s="498"/>
      <c r="E44" s="499"/>
      <c r="F44" s="499"/>
      <c r="G44" s="833"/>
      <c r="H44" s="833"/>
      <c r="I44" s="833"/>
      <c r="J44" s="833"/>
      <c r="K44" s="834"/>
      <c r="L44" s="835"/>
      <c r="M44" s="828"/>
      <c r="N44" s="836"/>
      <c r="O44" s="828"/>
      <c r="P44" s="829"/>
      <c r="Q44" s="830"/>
      <c r="R44" s="833"/>
      <c r="S44" s="828"/>
      <c r="T44" s="828"/>
      <c r="U44" s="828"/>
      <c r="V44" s="806"/>
      <c r="W44" s="806"/>
      <c r="X44" s="147"/>
    </row>
    <row r="45" spans="1:24" s="436" customFormat="1" ht="6" customHeight="1">
      <c r="A45" s="806"/>
      <c r="B45" s="806"/>
      <c r="C45" s="813"/>
      <c r="D45" s="806"/>
      <c r="E45" s="806"/>
      <c r="F45" s="810"/>
      <c r="G45" s="833"/>
      <c r="H45" s="833"/>
      <c r="I45" s="833"/>
      <c r="J45" s="834"/>
      <c r="K45" s="835"/>
      <c r="L45" s="828"/>
      <c r="M45" s="836"/>
      <c r="N45" s="828"/>
      <c r="O45" s="829"/>
      <c r="P45" s="830"/>
      <c r="Q45" s="828"/>
      <c r="R45" s="832"/>
      <c r="S45" s="828"/>
      <c r="T45" s="828"/>
      <c r="U45" s="828"/>
      <c r="V45" s="806"/>
      <c r="W45" s="806"/>
      <c r="X45" s="147"/>
    </row>
    <row r="46" spans="1:23" ht="13.5" customHeight="1">
      <c r="A46" s="822"/>
      <c r="B46" s="440" t="s">
        <v>212</v>
      </c>
      <c r="C46" s="441"/>
      <c r="D46" s="128"/>
      <c r="E46" s="130"/>
      <c r="F46" s="130"/>
      <c r="G46" s="130"/>
      <c r="H46" s="128"/>
      <c r="I46" s="128"/>
      <c r="J46" s="128"/>
      <c r="K46" s="568" t="s">
        <v>346</v>
      </c>
      <c r="L46" s="130"/>
      <c r="M46" s="130"/>
      <c r="N46" s="130"/>
      <c r="O46" s="128"/>
      <c r="P46" s="128"/>
      <c r="Q46" s="447"/>
      <c r="R46" s="570"/>
      <c r="S46" s="160"/>
      <c r="T46" s="571"/>
      <c r="U46" s="448"/>
      <c r="V46" s="822"/>
      <c r="W46" s="822"/>
    </row>
    <row r="47" spans="1:23" ht="15" customHeight="1">
      <c r="A47" s="822"/>
      <c r="B47" s="449"/>
      <c r="C47" s="769" t="s">
        <v>404</v>
      </c>
      <c r="D47" s="771" t="s">
        <v>200</v>
      </c>
      <c r="E47" s="137"/>
      <c r="F47" s="138"/>
      <c r="G47" s="138"/>
      <c r="H47" s="137"/>
      <c r="I47" s="137"/>
      <c r="J47" s="137"/>
      <c r="K47" s="137"/>
      <c r="L47" s="138"/>
      <c r="M47" s="138"/>
      <c r="N47" s="138"/>
      <c r="O47" s="137"/>
      <c r="P47" s="506">
        <f>0.2*J2</f>
        <v>0.388</v>
      </c>
      <c r="Q47" s="566" t="s">
        <v>71</v>
      </c>
      <c r="R47" s="580">
        <f>0.1*J2</f>
        <v>0.194</v>
      </c>
      <c r="S47" s="168" t="s">
        <v>72</v>
      </c>
      <c r="T47" s="567"/>
      <c r="U47" s="451" t="s">
        <v>73</v>
      </c>
      <c r="V47" s="822"/>
      <c r="W47" s="822"/>
    </row>
    <row r="48" spans="1:23" ht="9.75" customHeight="1">
      <c r="A48" s="822"/>
      <c r="B48" s="449"/>
      <c r="C48" s="565"/>
      <c r="D48" s="138" t="s">
        <v>387</v>
      </c>
      <c r="E48" s="137"/>
      <c r="F48" s="138"/>
      <c r="G48" s="138"/>
      <c r="H48" s="137"/>
      <c r="I48" s="137"/>
      <c r="J48" s="137"/>
      <c r="K48" s="137"/>
      <c r="L48" s="138"/>
      <c r="M48" s="138"/>
      <c r="N48" s="138"/>
      <c r="O48" s="132"/>
      <c r="P48" s="135"/>
      <c r="Q48" s="136"/>
      <c r="R48" s="135"/>
      <c r="S48" s="132"/>
      <c r="T48" s="136"/>
      <c r="U48" s="414"/>
      <c r="V48" s="822"/>
      <c r="W48" s="822"/>
    </row>
    <row r="49" spans="1:23" ht="12" customHeight="1">
      <c r="A49" s="822"/>
      <c r="B49" s="844"/>
      <c r="C49" s="844"/>
      <c r="D49" s="845"/>
      <c r="E49" s="137"/>
      <c r="F49" s="138" t="s">
        <v>164</v>
      </c>
      <c r="G49" s="10"/>
      <c r="H49" s="137"/>
      <c r="I49" s="137"/>
      <c r="J49" s="137"/>
      <c r="K49" s="137"/>
      <c r="L49" s="138"/>
      <c r="M49" s="138"/>
      <c r="N49" s="138"/>
      <c r="O49" s="846"/>
      <c r="P49" s="844"/>
      <c r="Q49" s="844"/>
      <c r="R49" s="844"/>
      <c r="S49" s="844"/>
      <c r="T49" s="844"/>
      <c r="U49" s="844"/>
      <c r="V49" s="822"/>
      <c r="W49" s="822"/>
    </row>
    <row r="50" spans="1:23" ht="13.5" customHeight="1">
      <c r="A50" s="822"/>
      <c r="B50" s="139"/>
      <c r="C50" s="770" t="s">
        <v>404</v>
      </c>
      <c r="D50" s="771" t="s">
        <v>201</v>
      </c>
      <c r="E50" s="137"/>
      <c r="F50" s="137"/>
      <c r="G50" s="138"/>
      <c r="H50" s="138" t="s">
        <v>202</v>
      </c>
      <c r="I50" s="137"/>
      <c r="J50" s="137"/>
      <c r="K50" s="137"/>
      <c r="L50" s="138" t="s">
        <v>203</v>
      </c>
      <c r="M50" s="138"/>
      <c r="N50" s="138"/>
      <c r="O50" s="137"/>
      <c r="P50" s="506">
        <f>0.4*J2</f>
        <v>0.776</v>
      </c>
      <c r="Q50" s="450" t="s">
        <v>71</v>
      </c>
      <c r="R50" s="581">
        <f>0.2*J2</f>
        <v>0.388</v>
      </c>
      <c r="S50" s="78" t="s">
        <v>72</v>
      </c>
      <c r="T50" s="450"/>
      <c r="U50" s="451" t="s">
        <v>116</v>
      </c>
      <c r="V50" s="822"/>
      <c r="W50" s="822"/>
    </row>
    <row r="51" spans="1:23" ht="13.5" customHeight="1">
      <c r="A51" s="822"/>
      <c r="B51" s="139"/>
      <c r="C51" s="137"/>
      <c r="D51" s="137"/>
      <c r="E51" s="137"/>
      <c r="F51" s="137"/>
      <c r="G51" s="137"/>
      <c r="H51" s="138" t="s">
        <v>388</v>
      </c>
      <c r="I51" s="137"/>
      <c r="J51" s="137"/>
      <c r="K51" s="137"/>
      <c r="L51" s="138" t="s">
        <v>203</v>
      </c>
      <c r="M51" s="138"/>
      <c r="N51" s="138"/>
      <c r="O51" s="137"/>
      <c r="P51" s="506">
        <f>IF(O2&lt;2,0.2*J2,IF(O2&lt;=7,0.4*J2,0.5*J2))</f>
        <v>0.97</v>
      </c>
      <c r="Q51" s="450" t="s">
        <v>71</v>
      </c>
      <c r="R51" s="581">
        <f>IF(O2&lt;2,J2*0.1,IF(O2&lt;=7,J2*0.2,J2*0.25))</f>
        <v>0.485</v>
      </c>
      <c r="S51" s="78" t="s">
        <v>72</v>
      </c>
      <c r="T51" s="450"/>
      <c r="U51" s="451" t="str">
        <f>IF(O2&lt;2,"0,1 mg/kg",IF(O2&lt;=7,"0,2 mg/kg","0,25 mg/kg"))</f>
        <v>0,25 mg/kg</v>
      </c>
      <c r="V51" s="822"/>
      <c r="W51" s="822"/>
    </row>
    <row r="52" spans="1:23" ht="13.5" customHeight="1">
      <c r="A52" s="822"/>
      <c r="B52" s="139"/>
      <c r="C52" s="137"/>
      <c r="D52" s="137"/>
      <c r="E52" s="137"/>
      <c r="F52" s="137"/>
      <c r="G52" s="137"/>
      <c r="H52" s="138" t="s">
        <v>389</v>
      </c>
      <c r="I52" s="137"/>
      <c r="J52" s="137"/>
      <c r="K52" s="137"/>
      <c r="L52" s="138" t="s">
        <v>203</v>
      </c>
      <c r="M52" s="138"/>
      <c r="N52" s="138"/>
      <c r="O52" s="137"/>
      <c r="P52" s="506">
        <f>IF(O2&lt;2,0.2*J2,IF(O2&lt;=7,0.4*J2,0.5*J2))</f>
        <v>0.97</v>
      </c>
      <c r="Q52" s="450" t="s">
        <v>71</v>
      </c>
      <c r="R52" s="581">
        <f>IF(O2&lt;2,J2*0.1,IF(O2&lt;=7,J2*0.2,J2*0.25))</f>
        <v>0.485</v>
      </c>
      <c r="S52" s="78" t="s">
        <v>72</v>
      </c>
      <c r="T52" s="450"/>
      <c r="U52" s="451" t="str">
        <f>IF(O2&lt;2,"0,1 mg/kg",IF(O2&lt;=7,"0,2 mg/kg","0,25 mg/kg"))</f>
        <v>0,25 mg/kg</v>
      </c>
      <c r="V52" s="822"/>
      <c r="W52" s="822"/>
    </row>
    <row r="53" spans="1:49" s="10" customFormat="1" ht="5.25" customHeight="1">
      <c r="A53" s="823"/>
      <c r="B53" s="135"/>
      <c r="C53" s="132"/>
      <c r="D53" s="132"/>
      <c r="E53" s="132"/>
      <c r="F53" s="132"/>
      <c r="G53" s="132"/>
      <c r="H53" s="132"/>
      <c r="I53" s="132"/>
      <c r="J53" s="132"/>
      <c r="K53" s="132"/>
      <c r="L53" s="134"/>
      <c r="M53" s="134"/>
      <c r="N53" s="134"/>
      <c r="O53" s="132"/>
      <c r="P53" s="135"/>
      <c r="Q53" s="136"/>
      <c r="R53" s="132"/>
      <c r="S53" s="132"/>
      <c r="T53" s="132"/>
      <c r="U53" s="573"/>
      <c r="V53" s="823"/>
      <c r="W53" s="823"/>
      <c r="X53" s="14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</row>
    <row r="54" spans="1:49" s="10" customFormat="1" ht="8.25" customHeight="1">
      <c r="A54" s="823"/>
      <c r="B54" s="823"/>
      <c r="C54" s="823"/>
      <c r="D54" s="823"/>
      <c r="E54" s="823"/>
      <c r="F54" s="823"/>
      <c r="G54" s="823"/>
      <c r="H54" s="842"/>
      <c r="I54" s="823"/>
      <c r="J54" s="823"/>
      <c r="K54" s="823"/>
      <c r="L54" s="843"/>
      <c r="M54" s="843"/>
      <c r="N54" s="843"/>
      <c r="O54" s="823"/>
      <c r="P54" s="823"/>
      <c r="Q54" s="823"/>
      <c r="R54" s="823"/>
      <c r="S54" s="823"/>
      <c r="T54" s="823"/>
      <c r="U54" s="823"/>
      <c r="V54" s="823"/>
      <c r="W54" s="823"/>
      <c r="X54" s="14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</row>
    <row r="55" spans="1:24" s="436" customFormat="1" ht="12.75">
      <c r="A55" s="806"/>
      <c r="B55" s="772" t="s">
        <v>32</v>
      </c>
      <c r="C55" s="12"/>
      <c r="D55" s="12"/>
      <c r="E55" s="13"/>
      <c r="F55" s="12"/>
      <c r="G55" s="13" t="s">
        <v>134</v>
      </c>
      <c r="H55" s="13"/>
      <c r="I55" s="13"/>
      <c r="J55" s="13"/>
      <c r="K55" s="602"/>
      <c r="L55" s="130" t="s">
        <v>238</v>
      </c>
      <c r="M55" s="130"/>
      <c r="N55" s="602"/>
      <c r="O55" s="14"/>
      <c r="P55" s="442">
        <f>0.16*J2</f>
        <v>0.3104</v>
      </c>
      <c r="Q55" s="293" t="s">
        <v>71</v>
      </c>
      <c r="R55" s="607">
        <f>50*J2</f>
        <v>97</v>
      </c>
      <c r="S55" s="49" t="s">
        <v>161</v>
      </c>
      <c r="T55" s="444"/>
      <c r="U55" s="75" t="s">
        <v>381</v>
      </c>
      <c r="V55" s="806"/>
      <c r="W55" s="806"/>
      <c r="X55" s="147"/>
    </row>
    <row r="56" spans="1:24" s="436" customFormat="1" ht="12.75">
      <c r="A56" s="806"/>
      <c r="B56" s="605" t="s">
        <v>33</v>
      </c>
      <c r="C56" s="601"/>
      <c r="D56" s="601"/>
      <c r="E56" s="601"/>
      <c r="F56" s="97" t="s">
        <v>282</v>
      </c>
      <c r="G56" s="7" t="s">
        <v>283</v>
      </c>
      <c r="H56" s="7"/>
      <c r="I56" s="7"/>
      <c r="J56" s="7"/>
      <c r="K56" s="7"/>
      <c r="L56" s="121"/>
      <c r="M56" s="601"/>
      <c r="N56" s="601"/>
      <c r="O56" s="7"/>
      <c r="P56" s="37"/>
      <c r="Q56" s="120"/>
      <c r="R56" s="55"/>
      <c r="S56" s="95"/>
      <c r="T56" s="136"/>
      <c r="U56" s="65"/>
      <c r="V56" s="806"/>
      <c r="W56" s="806"/>
      <c r="X56" s="147"/>
    </row>
    <row r="57" spans="1:24" s="436" customFormat="1" ht="31.5" customHeight="1">
      <c r="A57" s="806"/>
      <c r="B57" s="847"/>
      <c r="C57" s="806"/>
      <c r="D57" s="806"/>
      <c r="E57" s="806"/>
      <c r="F57" s="848"/>
      <c r="G57" s="826"/>
      <c r="H57" s="826"/>
      <c r="I57" s="826"/>
      <c r="J57" s="826"/>
      <c r="K57" s="826"/>
      <c r="L57" s="849"/>
      <c r="M57" s="806"/>
      <c r="N57" s="806"/>
      <c r="O57" s="826"/>
      <c r="P57" s="850"/>
      <c r="Q57" s="851"/>
      <c r="R57" s="852"/>
      <c r="S57" s="853"/>
      <c r="T57" s="823"/>
      <c r="U57" s="848"/>
      <c r="V57" s="806"/>
      <c r="W57" s="806"/>
      <c r="X57" s="147"/>
    </row>
    <row r="58" spans="1:24" s="436" customFormat="1" ht="12.75">
      <c r="A58" s="806"/>
      <c r="B58" s="772" t="s">
        <v>319</v>
      </c>
      <c r="C58" s="307"/>
      <c r="D58" s="12"/>
      <c r="E58" s="13"/>
      <c r="F58" s="12"/>
      <c r="G58" s="13"/>
      <c r="H58" s="13"/>
      <c r="I58" s="13"/>
      <c r="J58" s="13"/>
      <c r="K58" s="602"/>
      <c r="L58" s="130" t="s">
        <v>142</v>
      </c>
      <c r="M58" s="130"/>
      <c r="N58" s="602"/>
      <c r="O58" s="14"/>
      <c r="P58" s="442"/>
      <c r="Q58" s="293"/>
      <c r="R58" s="607"/>
      <c r="S58" s="49"/>
      <c r="T58" s="444"/>
      <c r="U58" s="75" t="s">
        <v>298</v>
      </c>
      <c r="V58" s="806"/>
      <c r="W58" s="806"/>
      <c r="X58" s="147"/>
    </row>
    <row r="59" spans="1:24" s="436" customFormat="1" ht="13.5" customHeight="1">
      <c r="A59" s="806"/>
      <c r="B59" s="791"/>
      <c r="C59" s="27" t="s">
        <v>320</v>
      </c>
      <c r="D59" s="27"/>
      <c r="E59" s="18"/>
      <c r="F59" s="27"/>
      <c r="G59" s="18" t="s">
        <v>317</v>
      </c>
      <c r="H59" s="18"/>
      <c r="I59" s="18"/>
      <c r="J59" s="18"/>
      <c r="L59" s="138"/>
      <c r="M59" s="138"/>
      <c r="O59" s="17"/>
      <c r="P59" s="506">
        <f>J2*0.1</f>
        <v>0.194</v>
      </c>
      <c r="Q59" s="450" t="s">
        <v>71</v>
      </c>
      <c r="R59" s="795">
        <f>8/3*J2</f>
        <v>5.173333333333333</v>
      </c>
      <c r="S59" s="23" t="s">
        <v>72</v>
      </c>
      <c r="T59" s="567" t="s">
        <v>300</v>
      </c>
      <c r="U59" s="92"/>
      <c r="V59" s="806"/>
      <c r="W59" s="806"/>
      <c r="X59" s="147"/>
    </row>
    <row r="60" spans="1:24" s="436" customFormat="1" ht="10.5" customHeight="1">
      <c r="A60" s="806"/>
      <c r="B60" s="605"/>
      <c r="C60" s="794" t="s">
        <v>321</v>
      </c>
      <c r="D60" s="601"/>
      <c r="E60" s="601"/>
      <c r="F60" s="97"/>
      <c r="G60" s="7"/>
      <c r="H60" s="793"/>
      <c r="I60" s="792"/>
      <c r="J60" s="792"/>
      <c r="K60" s="792"/>
      <c r="L60" s="121"/>
      <c r="M60" s="601"/>
      <c r="N60" s="601"/>
      <c r="O60" s="7"/>
      <c r="P60" s="37"/>
      <c r="Q60" s="120"/>
      <c r="R60" s="879"/>
      <c r="S60" s="880"/>
      <c r="T60" s="881" t="s">
        <v>299</v>
      </c>
      <c r="U60" s="905">
        <f>0.05+(0.05*J2)</f>
        <v>0.14700000000000002</v>
      </c>
      <c r="V60" s="806"/>
      <c r="W60" s="806"/>
      <c r="X60" s="147"/>
    </row>
    <row r="61" spans="1:49" s="10" customFormat="1" ht="13.5" customHeight="1">
      <c r="A61" s="806"/>
      <c r="B61" s="806"/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22"/>
      <c r="W61" s="822"/>
      <c r="X61" s="14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</row>
    <row r="62" spans="1:49" s="10" customFormat="1" ht="13.5" customHeight="1">
      <c r="A62" s="806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22"/>
      <c r="W62" s="822"/>
      <c r="X62" s="14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</row>
    <row r="63" spans="1:49" s="10" customFormat="1" ht="13.5" customHeight="1">
      <c r="A63" s="806"/>
      <c r="B63" s="806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22"/>
      <c r="W63" s="822"/>
      <c r="X63" s="14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</row>
    <row r="64" spans="1:24" s="436" customFormat="1" ht="12.75">
      <c r="A64" s="806"/>
      <c r="B64" s="812"/>
      <c r="C64" s="806"/>
      <c r="D64" s="813"/>
      <c r="E64" s="806"/>
      <c r="F64" s="806"/>
      <c r="G64" s="810"/>
      <c r="H64" s="810"/>
      <c r="I64" s="810"/>
      <c r="J64" s="810"/>
      <c r="K64" s="814"/>
      <c r="L64" s="819"/>
      <c r="M64" s="806"/>
      <c r="N64" s="818"/>
      <c r="O64" s="806"/>
      <c r="P64" s="811"/>
      <c r="Q64" s="827"/>
      <c r="R64" s="810"/>
      <c r="S64" s="806"/>
      <c r="T64" s="806"/>
      <c r="U64" s="806"/>
      <c r="V64" s="806"/>
      <c r="W64" s="806"/>
      <c r="X64" s="147"/>
    </row>
    <row r="65" spans="1:49" s="10" customFormat="1" ht="6" customHeight="1">
      <c r="A65" s="823"/>
      <c r="B65" s="823"/>
      <c r="C65" s="854"/>
      <c r="D65" s="823"/>
      <c r="E65" s="823"/>
      <c r="F65" s="823"/>
      <c r="G65" s="823"/>
      <c r="H65" s="823"/>
      <c r="I65" s="823"/>
      <c r="J65" s="823"/>
      <c r="K65" s="823"/>
      <c r="L65" s="843"/>
      <c r="M65" s="843"/>
      <c r="N65" s="843"/>
      <c r="O65" s="823"/>
      <c r="P65" s="823"/>
      <c r="Q65" s="823"/>
      <c r="R65" s="823"/>
      <c r="S65" s="823"/>
      <c r="T65" s="823"/>
      <c r="U65" s="823"/>
      <c r="V65" s="823"/>
      <c r="W65" s="823"/>
      <c r="X65" s="14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</row>
    <row r="66" spans="1:49" s="582" customFormat="1" ht="4.5" customHeight="1">
      <c r="A66" s="825"/>
      <c r="B66" s="825"/>
      <c r="C66" s="825"/>
      <c r="D66" s="825"/>
      <c r="E66" s="825"/>
      <c r="F66" s="825"/>
      <c r="G66" s="825"/>
      <c r="H66" s="825"/>
      <c r="I66" s="825"/>
      <c r="J66" s="825"/>
      <c r="K66" s="825"/>
      <c r="L66" s="855"/>
      <c r="M66" s="855"/>
      <c r="N66" s="855"/>
      <c r="O66" s="825"/>
      <c r="P66" s="825"/>
      <c r="Q66" s="825"/>
      <c r="R66" s="825"/>
      <c r="S66" s="825"/>
      <c r="T66" s="825"/>
      <c r="U66" s="825"/>
      <c r="V66" s="825"/>
      <c r="W66" s="825"/>
      <c r="X66" s="147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</row>
    <row r="67" spans="1:49" s="10" customFormat="1" ht="12" customHeight="1">
      <c r="A67" s="823"/>
      <c r="B67" s="779" t="s">
        <v>43</v>
      </c>
      <c r="C67" s="780"/>
      <c r="D67" s="780"/>
      <c r="E67" s="780"/>
      <c r="F67" s="780"/>
      <c r="G67" s="781"/>
      <c r="H67" s="782"/>
      <c r="I67" s="782"/>
      <c r="J67" s="782"/>
      <c r="K67" s="782"/>
      <c r="L67" s="783" t="s">
        <v>44</v>
      </c>
      <c r="M67" s="784"/>
      <c r="N67" s="784"/>
      <c r="O67" s="785"/>
      <c r="P67" s="786" t="s">
        <v>323</v>
      </c>
      <c r="Q67" s="783"/>
      <c r="R67" s="787" t="s">
        <v>183</v>
      </c>
      <c r="S67" s="788"/>
      <c r="T67" s="788"/>
      <c r="U67" s="789" t="s">
        <v>42</v>
      </c>
      <c r="V67" s="823"/>
      <c r="W67" s="823"/>
      <c r="X67" s="14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</row>
    <row r="68" spans="1:23" ht="13.5" customHeight="1">
      <c r="A68" s="822"/>
      <c r="B68" s="572" t="s">
        <v>363</v>
      </c>
      <c r="C68" s="141"/>
      <c r="D68" s="142"/>
      <c r="E68" s="122"/>
      <c r="F68" s="122"/>
      <c r="G68" s="137"/>
      <c r="H68" s="137"/>
      <c r="I68" s="137"/>
      <c r="J68" s="137"/>
      <c r="K68" s="146"/>
      <c r="L68" s="168"/>
      <c r="M68" s="569" t="s">
        <v>364</v>
      </c>
      <c r="N68" s="137"/>
      <c r="O68" s="137"/>
      <c r="P68" s="128"/>
      <c r="Q68" s="137"/>
      <c r="R68" s="128"/>
      <c r="S68" s="122"/>
      <c r="T68" s="122"/>
      <c r="U68" s="453" t="s">
        <v>45</v>
      </c>
      <c r="V68" s="823"/>
      <c r="W68" s="823"/>
    </row>
    <row r="69" spans="1:23" ht="3" customHeight="1">
      <c r="A69" s="822"/>
      <c r="B69" s="143"/>
      <c r="C69" s="142"/>
      <c r="D69" s="142"/>
      <c r="E69" s="122"/>
      <c r="F69" s="122"/>
      <c r="G69" s="137"/>
      <c r="H69" s="137"/>
      <c r="I69" s="137"/>
      <c r="J69" s="137"/>
      <c r="K69" s="137"/>
      <c r="L69" s="168"/>
      <c r="M69" s="137"/>
      <c r="N69" s="137"/>
      <c r="O69" s="122"/>
      <c r="P69" s="122"/>
      <c r="Q69" s="122"/>
      <c r="R69" s="122"/>
      <c r="S69" s="122"/>
      <c r="T69" s="122"/>
      <c r="U69" s="144"/>
      <c r="V69" s="823"/>
      <c r="W69" s="823"/>
    </row>
    <row r="70" spans="1:23" ht="12" customHeight="1">
      <c r="A70" s="822"/>
      <c r="B70" s="687"/>
      <c r="C70" s="859"/>
      <c r="D70" s="860"/>
      <c r="E70" s="860"/>
      <c r="F70" s="860"/>
      <c r="G70" s="861"/>
      <c r="H70" s="861"/>
      <c r="I70" s="861"/>
      <c r="J70" s="861"/>
      <c r="K70" s="861"/>
      <c r="L70" s="862"/>
      <c r="M70" s="862"/>
      <c r="N70" s="862"/>
      <c r="O70" s="863"/>
      <c r="Q70" s="689"/>
      <c r="S70" s="122"/>
      <c r="T70" s="122"/>
      <c r="U70" s="527">
        <f>IF(C74="?      ","",IF(C74&lt;21,"",IF(C74&lt;30,"15 mcg/kg ",IF(C74&lt;37,"20 mcg/Kg ",IF(C74&lt;49,"30 mcg/kg ",IF(C74&gt;48,"40 mcg/kg ",""))))))</f>
      </c>
      <c r="V70" s="823"/>
      <c r="W70" s="823"/>
    </row>
    <row r="71" spans="1:23" ht="13.5" customHeight="1">
      <c r="A71" s="822"/>
      <c r="B71" s="687"/>
      <c r="C71" s="689"/>
      <c r="D71" s="689"/>
      <c r="E71" s="701" t="str">
        <f>IF(Paciente!O13="?","No puede calcularse: ¡¡falta 'F. Nac'o es incorrecta!!",IF(Paciente!O21=0,"Falta 'Edad Gest'",""))</f>
        <v>No puede calcularse: ¡¡falta ''F. Nac''o es incorrecta!!</v>
      </c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99"/>
      <c r="Q71" s="689"/>
      <c r="S71" s="122"/>
      <c r="T71" s="122"/>
      <c r="U71" s="527"/>
      <c r="V71" s="823"/>
      <c r="W71" s="823"/>
    </row>
    <row r="72" spans="1:23" ht="6.75" customHeight="1">
      <c r="A72" s="822"/>
      <c r="B72" s="687"/>
      <c r="L72" s="454"/>
      <c r="M72" s="454"/>
      <c r="N72" s="168"/>
      <c r="O72" s="454"/>
      <c r="Q72" s="122"/>
      <c r="R72" s="122"/>
      <c r="S72" s="122"/>
      <c r="T72" s="122"/>
      <c r="U72" s="686"/>
      <c r="V72" s="823"/>
      <c r="W72" s="823"/>
    </row>
    <row r="73" spans="1:23" ht="13.5" customHeight="1">
      <c r="A73" s="822"/>
      <c r="B73" s="697" t="s">
        <v>20</v>
      </c>
      <c r="C73" s="702" t="s">
        <v>263</v>
      </c>
      <c r="D73" s="700"/>
      <c r="E73" s="454"/>
      <c r="F73" s="454"/>
      <c r="G73" s="455" t="s">
        <v>199</v>
      </c>
      <c r="K73" s="148" t="s">
        <v>309</v>
      </c>
      <c r="L73" s="150"/>
      <c r="M73" s="149"/>
      <c r="N73" s="150"/>
      <c r="O73" s="151"/>
      <c r="P73" s="459" t="e">
        <f>R73/25</f>
        <v>#VALUE!</v>
      </c>
      <c r="Q73" s="457" t="s">
        <v>185</v>
      </c>
      <c r="R73" s="460" t="e">
        <f>J2*(G76/2)</f>
        <v>#VALUE!</v>
      </c>
      <c r="S73" s="152" t="s">
        <v>161</v>
      </c>
      <c r="T73" s="153"/>
      <c r="U73" s="694"/>
      <c r="V73" s="823"/>
      <c r="W73" s="823"/>
    </row>
    <row r="74" spans="1:23" ht="13.5" customHeight="1">
      <c r="A74" s="822"/>
      <c r="B74" s="687"/>
      <c r="C74" s="703" t="str">
        <f>IF(Paciente!O29="?","?      ",Paciente!O29)</f>
        <v>?      </v>
      </c>
      <c r="D74" s="688"/>
      <c r="E74" s="137"/>
      <c r="F74" s="454" t="str">
        <f>IF(C74&lt;30,"para &lt; 30 sem EPM",IF(C74&lt;37,"para 30-36 sem EPM",IF(C74&lt;49,"para 37-48 sem EPM",IF(C74&gt;48,"para &gt; 48 sem EPM",""))))</f>
        <v>para &gt; 48 sem EPM</v>
      </c>
      <c r="G74" s="155"/>
      <c r="H74" s="156"/>
      <c r="I74" s="137"/>
      <c r="J74" s="137"/>
      <c r="K74" s="148" t="s">
        <v>409</v>
      </c>
      <c r="L74" s="150"/>
      <c r="M74" s="149"/>
      <c r="N74" s="150"/>
      <c r="O74" s="151"/>
      <c r="P74" s="459" t="e">
        <f>P73/2</f>
        <v>#VALUE!</v>
      </c>
      <c r="Q74" s="457" t="s">
        <v>185</v>
      </c>
      <c r="R74" s="460" t="e">
        <f>J2*(G76/4)</f>
        <v>#VALUE!</v>
      </c>
      <c r="S74" s="152" t="s">
        <v>161</v>
      </c>
      <c r="T74" s="153"/>
      <c r="U74" s="690"/>
      <c r="V74" s="823"/>
      <c r="W74" s="823"/>
    </row>
    <row r="75" spans="1:49" s="10" customFormat="1" ht="13.5" customHeight="1">
      <c r="A75" s="823"/>
      <c r="B75" s="687"/>
      <c r="C75" s="689"/>
      <c r="D75" s="688"/>
      <c r="E75" s="137"/>
      <c r="F75" s="137"/>
      <c r="G75" s="147"/>
      <c r="H75" s="157"/>
      <c r="I75" s="137"/>
      <c r="J75" s="137"/>
      <c r="K75" s="148" t="s">
        <v>313</v>
      </c>
      <c r="L75" s="150"/>
      <c r="M75" s="149"/>
      <c r="N75" s="150"/>
      <c r="O75" s="151"/>
      <c r="P75" s="459" t="e">
        <f>P73/2</f>
        <v>#VALUE!</v>
      </c>
      <c r="Q75" s="457" t="s">
        <v>185</v>
      </c>
      <c r="R75" s="460" t="e">
        <f>J2*(G76/4)</f>
        <v>#VALUE!</v>
      </c>
      <c r="S75" s="152" t="s">
        <v>161</v>
      </c>
      <c r="T75" s="153"/>
      <c r="U75" s="690"/>
      <c r="V75" s="823"/>
      <c r="W75" s="823"/>
      <c r="X75" s="14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</row>
    <row r="76" spans="1:49" s="10" customFormat="1" ht="13.5" customHeight="1">
      <c r="A76" s="823"/>
      <c r="B76" s="687"/>
      <c r="C76" s="689"/>
      <c r="D76" s="688"/>
      <c r="E76" s="137"/>
      <c r="F76" s="137"/>
      <c r="G76" s="330">
        <f>IF(C74="?      ","",IF(C74&lt;21,"",IF(C74&lt;30,15,IF(C74&lt;37,20,IF(C74&lt;49,30,IF(C74&gt;48,40,""))))))</f>
      </c>
      <c r="H76" s="164" t="s">
        <v>373</v>
      </c>
      <c r="I76" s="157"/>
      <c r="J76" s="157"/>
      <c r="K76" s="157"/>
      <c r="L76" s="157"/>
      <c r="M76" s="157"/>
      <c r="N76" s="157"/>
      <c r="O76" s="157"/>
      <c r="P76" s="696"/>
      <c r="Q76" s="157"/>
      <c r="R76" s="157"/>
      <c r="S76" s="157"/>
      <c r="T76" s="157"/>
      <c r="U76" s="158"/>
      <c r="V76" s="823"/>
      <c r="W76" s="823"/>
      <c r="X76" s="14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</row>
    <row r="77" spans="1:49" s="10" customFormat="1" ht="13.5" customHeight="1">
      <c r="A77" s="823"/>
      <c r="B77" s="687"/>
      <c r="D77" s="688"/>
      <c r="E77" s="137"/>
      <c r="G77" s="137"/>
      <c r="H77" s="157"/>
      <c r="I77" s="122"/>
      <c r="J77" s="122"/>
      <c r="K77" s="458" t="s">
        <v>47</v>
      </c>
      <c r="L77" s="150"/>
      <c r="M77" s="150"/>
      <c r="N77" s="150"/>
      <c r="O77" s="151"/>
      <c r="P77" s="459" t="e">
        <f>P73/4</f>
        <v>#VALUE!</v>
      </c>
      <c r="Q77" s="457" t="s">
        <v>185</v>
      </c>
      <c r="R77" s="460" t="e">
        <f>J2*(G76/8)</f>
        <v>#VALUE!</v>
      </c>
      <c r="S77" s="152" t="s">
        <v>161</v>
      </c>
      <c r="T77" s="153"/>
      <c r="U77" s="694"/>
      <c r="V77" s="823"/>
      <c r="W77" s="823"/>
      <c r="X77" s="14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</row>
    <row r="78" spans="1:49" s="10" customFormat="1" ht="3" customHeight="1">
      <c r="A78" s="823"/>
      <c r="B78" s="145"/>
      <c r="C78" s="122"/>
      <c r="D78" s="122"/>
      <c r="E78" s="137"/>
      <c r="F78" s="137"/>
      <c r="G78" s="137"/>
      <c r="H78" s="157"/>
      <c r="I78" s="122"/>
      <c r="J78" s="122"/>
      <c r="K78" s="122"/>
      <c r="L78" s="461"/>
      <c r="M78" s="462"/>
      <c r="N78" s="164"/>
      <c r="O78" s="165"/>
      <c r="P78" s="166"/>
      <c r="R78" s="167"/>
      <c r="S78" s="168"/>
      <c r="T78" s="168"/>
      <c r="U78" s="154"/>
      <c r="V78" s="823"/>
      <c r="W78" s="823"/>
      <c r="X78" s="14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</row>
    <row r="79" spans="1:49" s="10" customFormat="1" ht="9" customHeight="1">
      <c r="A79" s="823"/>
      <c r="B79" s="145"/>
      <c r="C79" s="508"/>
      <c r="D79" s="122"/>
      <c r="E79" s="137"/>
      <c r="F79" s="137"/>
      <c r="G79" s="137"/>
      <c r="H79" s="157"/>
      <c r="I79" s="122"/>
      <c r="J79" s="122"/>
      <c r="K79" s="122"/>
      <c r="L79" s="461"/>
      <c r="M79" s="462"/>
      <c r="N79" s="164"/>
      <c r="O79" s="165"/>
      <c r="P79" s="166"/>
      <c r="Q79" s="463" t="s">
        <v>186</v>
      </c>
      <c r="R79" s="167"/>
      <c r="S79" s="168"/>
      <c r="T79" s="168"/>
      <c r="U79" s="154"/>
      <c r="V79" s="823"/>
      <c r="W79" s="823"/>
      <c r="X79" s="14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</row>
    <row r="80" spans="1:49" s="10" customFormat="1" ht="3.75" customHeight="1">
      <c r="A80" s="823"/>
      <c r="B80" s="169"/>
      <c r="C80" s="170"/>
      <c r="D80" s="170"/>
      <c r="E80" s="464"/>
      <c r="F80" s="464"/>
      <c r="G80" s="464"/>
      <c r="H80" s="171"/>
      <c r="I80" s="170"/>
      <c r="J80" s="170"/>
      <c r="K80" s="170"/>
      <c r="L80" s="172"/>
      <c r="M80" s="465"/>
      <c r="N80" s="173"/>
      <c r="O80" s="174"/>
      <c r="P80" s="175"/>
      <c r="Q80" s="177"/>
      <c r="R80" s="176"/>
      <c r="S80" s="177"/>
      <c r="T80" s="177"/>
      <c r="U80" s="178"/>
      <c r="V80" s="823"/>
      <c r="W80" s="823"/>
      <c r="X80" s="14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</row>
    <row r="81" spans="1:49" s="10" customFormat="1" ht="3.75" customHeight="1">
      <c r="A81" s="823"/>
      <c r="B81" s="810"/>
      <c r="C81" s="650"/>
      <c r="D81" s="650"/>
      <c r="E81" s="123"/>
      <c r="F81" s="123"/>
      <c r="G81" s="123"/>
      <c r="H81" s="651"/>
      <c r="I81" s="650"/>
      <c r="J81" s="650"/>
      <c r="K81" s="650"/>
      <c r="L81" s="652"/>
      <c r="M81" s="653"/>
      <c r="N81" s="654"/>
      <c r="O81" s="655"/>
      <c r="P81" s="656"/>
      <c r="Q81" s="657"/>
      <c r="R81" s="658"/>
      <c r="S81" s="657"/>
      <c r="T81" s="657"/>
      <c r="U81" s="659"/>
      <c r="V81" s="823"/>
      <c r="W81" s="823"/>
      <c r="X81" s="14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</row>
    <row r="82" spans="1:24" s="436" customFormat="1" ht="12.75">
      <c r="A82" s="806"/>
      <c r="B82" s="810"/>
      <c r="C82" s="806"/>
      <c r="D82" s="813"/>
      <c r="E82" s="806"/>
      <c r="F82" s="806"/>
      <c r="G82" s="810"/>
      <c r="H82" s="810"/>
      <c r="I82" s="810"/>
      <c r="J82" s="810"/>
      <c r="K82" s="814"/>
      <c r="L82" s="819"/>
      <c r="M82" s="806"/>
      <c r="N82" s="818"/>
      <c r="O82" s="806"/>
      <c r="P82" s="811"/>
      <c r="Q82" s="827"/>
      <c r="R82" s="810"/>
      <c r="S82" s="806"/>
      <c r="T82" s="806"/>
      <c r="U82" s="806"/>
      <c r="V82" s="806"/>
      <c r="W82" s="806"/>
      <c r="X82" s="147"/>
    </row>
    <row r="83" spans="1:49" s="10" customFormat="1" ht="8.25" customHeight="1">
      <c r="A83" s="823"/>
      <c r="B83" s="823"/>
      <c r="C83" s="823"/>
      <c r="D83" s="823"/>
      <c r="E83" s="823"/>
      <c r="F83" s="823"/>
      <c r="G83" s="823"/>
      <c r="H83" s="842"/>
      <c r="I83" s="823"/>
      <c r="J83" s="823"/>
      <c r="K83" s="823"/>
      <c r="L83" s="843"/>
      <c r="M83" s="843"/>
      <c r="N83" s="843"/>
      <c r="O83" s="823"/>
      <c r="P83" s="823"/>
      <c r="Q83" s="823"/>
      <c r="R83" s="823"/>
      <c r="S83" s="823"/>
      <c r="T83" s="823"/>
      <c r="U83" s="823"/>
      <c r="V83" s="823"/>
      <c r="W83" s="823"/>
      <c r="X83" s="14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</row>
    <row r="84" spans="1:23" ht="12.75" customHeight="1">
      <c r="A84" s="823"/>
      <c r="B84" s="823"/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3"/>
      <c r="N84" s="823"/>
      <c r="O84" s="823"/>
      <c r="P84" s="823"/>
      <c r="Q84" s="856"/>
      <c r="R84" s="856"/>
      <c r="S84" s="857"/>
      <c r="T84" s="858" t="s">
        <v>150</v>
      </c>
      <c r="U84" s="858" t="s">
        <v>375</v>
      </c>
      <c r="V84" s="823"/>
      <c r="W84" s="823"/>
    </row>
    <row r="85" s="147" customFormat="1" ht="408.75" customHeight="1"/>
    <row r="86" s="147" customFormat="1" ht="12">
      <c r="H86" s="137"/>
    </row>
    <row r="87" s="147" customFormat="1" ht="12">
      <c r="H87" s="137"/>
    </row>
    <row r="88" s="147" customFormat="1" ht="12">
      <c r="H88" s="137"/>
    </row>
    <row r="89" s="147" customFormat="1" ht="12">
      <c r="H89" s="137"/>
    </row>
    <row r="90" s="147" customFormat="1" ht="12">
      <c r="H90" s="137"/>
    </row>
    <row r="91" s="147" customFormat="1" ht="12">
      <c r="H91" s="137"/>
    </row>
    <row r="92" s="147" customFormat="1" ht="12">
      <c r="H92" s="137"/>
    </row>
    <row r="93" s="147" customFormat="1" ht="12">
      <c r="H93" s="137"/>
    </row>
    <row r="94" s="147" customFormat="1" ht="12">
      <c r="H94" s="137"/>
    </row>
    <row r="95" s="147" customFormat="1" ht="12">
      <c r="H95" s="137"/>
    </row>
    <row r="96" s="147" customFormat="1" ht="12">
      <c r="H96" s="137"/>
    </row>
    <row r="97" s="147" customFormat="1" ht="12">
      <c r="H97" s="137"/>
    </row>
    <row r="98" s="147" customFormat="1" ht="12">
      <c r="H98" s="137"/>
    </row>
    <row r="99" s="147" customFormat="1" ht="12">
      <c r="H99" s="137"/>
    </row>
    <row r="100" s="147" customFormat="1" ht="12">
      <c r="H100" s="137"/>
    </row>
    <row r="101" ht="12">
      <c r="H101" s="10"/>
    </row>
    <row r="102" ht="12">
      <c r="H102" s="10"/>
    </row>
    <row r="103" ht="12">
      <c r="H103" s="10"/>
    </row>
    <row r="104" ht="12">
      <c r="H104" s="10"/>
    </row>
    <row r="105" ht="12">
      <c r="H105" s="10"/>
    </row>
    <row r="106" ht="12">
      <c r="H106" s="10"/>
    </row>
  </sheetData>
  <sheetProtection password="CC1A" sheet="1" objects="1" scenarios="1"/>
  <mergeCells count="8">
    <mergeCell ref="P41:Q41"/>
    <mergeCell ref="R41:S41"/>
    <mergeCell ref="P1:R1"/>
    <mergeCell ref="J2:K2"/>
    <mergeCell ref="P37:Q37"/>
    <mergeCell ref="R37:S37"/>
    <mergeCell ref="P38:Q38"/>
    <mergeCell ref="R38:S38"/>
  </mergeCells>
  <printOptions/>
  <pageMargins left="0.2362204724409449" right="0.07874015748031496" top="0.1968503937007874" bottom="0.07874015748031496" header="0" footer="0"/>
  <pageSetup fitToHeight="1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showGridLines="0" tabSelected="1" zoomScalePageLayoutView="0" workbookViewId="0" topLeftCell="A1">
      <selection activeCell="N1" sqref="N1"/>
    </sheetView>
  </sheetViews>
  <sheetFormatPr defaultColWidth="11.00390625" defaultRowHeight="12"/>
  <cols>
    <col min="1" max="1" width="2.125" style="2" customWidth="1"/>
    <col min="2" max="2" width="2.00390625" style="2" customWidth="1"/>
    <col min="3" max="3" width="16.125" style="2" customWidth="1"/>
    <col min="4" max="4" width="1.875" style="2" customWidth="1"/>
    <col min="5" max="5" width="10.375" style="2" customWidth="1"/>
    <col min="6" max="6" width="0.74609375" style="2" customWidth="1"/>
    <col min="7" max="7" width="9.25390625" style="2" customWidth="1"/>
    <col min="8" max="8" width="5.875" style="2" customWidth="1"/>
    <col min="9" max="9" width="4.00390625" style="2" customWidth="1"/>
    <col min="10" max="10" width="6.125" style="2" customWidth="1"/>
    <col min="11" max="11" width="6.00390625" style="2" customWidth="1"/>
    <col min="12" max="12" width="1.875" style="2" customWidth="1"/>
    <col min="13" max="13" width="17.25390625" style="2" customWidth="1"/>
    <col min="14" max="14" width="8.375" style="2" customWidth="1"/>
    <col min="15" max="15" width="8.00390625" style="2" customWidth="1"/>
    <col min="16" max="16" width="4.875" style="2" customWidth="1"/>
    <col min="17" max="17" width="2.75390625" style="2" customWidth="1"/>
    <col min="18" max="18" width="2.875" style="2" customWidth="1"/>
    <col min="19" max="19" width="2.75390625" style="722" customWidth="1"/>
    <col min="20" max="20" width="2.125" style="2" customWidth="1"/>
    <col min="21" max="21" width="17.00390625" style="2" customWidth="1"/>
    <col min="22" max="22" width="2.375" style="2" customWidth="1"/>
    <col min="23" max="23" width="76.125" style="147" customWidth="1"/>
    <col min="24" max="45" width="11.375" style="147" customWidth="1"/>
    <col min="46" max="16384" width="11.375" style="2" customWidth="1"/>
  </cols>
  <sheetData>
    <row r="1" spans="1:23" s="436" customFormat="1" ht="15.75">
      <c r="A1" s="431"/>
      <c r="B1" s="432" t="s">
        <v>169</v>
      </c>
      <c r="C1" s="433"/>
      <c r="D1" s="432"/>
      <c r="E1" s="434"/>
      <c r="F1" s="434"/>
      <c r="G1" s="434"/>
      <c r="H1" s="435" t="s">
        <v>179</v>
      </c>
      <c r="I1" s="1005">
        <f ca="1">TODAY()</f>
        <v>41416</v>
      </c>
      <c r="J1" s="1006"/>
      <c r="K1" s="1006"/>
      <c r="L1" s="439"/>
      <c r="M1" s="438" t="s">
        <v>97</v>
      </c>
      <c r="N1" s="705" t="str">
        <f>Paciente!O13</f>
        <v>?</v>
      </c>
      <c r="O1" s="439" t="str">
        <f>IF(Paciente!O13="?","¿Esta bien la F.nac.?","días de vida")</f>
        <v>¿Esta bien la F.nac.?</v>
      </c>
      <c r="P1" s="433"/>
      <c r="Q1" s="439"/>
      <c r="R1" s="439"/>
      <c r="S1" s="716"/>
      <c r="T1" s="439"/>
      <c r="U1" s="439"/>
      <c r="V1" s="433"/>
      <c r="W1" s="147"/>
    </row>
    <row r="2" spans="1:23" s="436" customFormat="1" ht="12.75">
      <c r="A2" s="344"/>
      <c r="B2" s="124" t="str">
        <f>IF('1-Reanim'!B6="","",'1-Reanim'!B6)</f>
        <v>Antonio Cuñarro</v>
      </c>
      <c r="C2" s="344"/>
      <c r="D2" s="437"/>
      <c r="E2" s="431"/>
      <c r="F2" s="431"/>
      <c r="G2" s="431"/>
      <c r="H2" s="708" t="s">
        <v>59</v>
      </c>
      <c r="I2" s="1007">
        <f>Paciente!H28</f>
        <v>1.94</v>
      </c>
      <c r="J2" s="1008"/>
      <c r="K2" s="125"/>
      <c r="L2" s="704"/>
      <c r="M2" s="438" t="s">
        <v>348</v>
      </c>
      <c r="N2" s="727">
        <f>IF(Paciente!O21=0,"?",Paciente!O21)</f>
        <v>34</v>
      </c>
      <c r="O2" s="439" t="str">
        <f>IF(Paciente!O21=0,"¿Estan bien las SG.?","Semanas de gestación enteras")</f>
        <v>Semanas de gestación enteras</v>
      </c>
      <c r="P2" s="433"/>
      <c r="Q2" s="439"/>
      <c r="R2" s="439"/>
      <c r="S2" s="716"/>
      <c r="T2" s="439"/>
      <c r="U2" s="439"/>
      <c r="V2" s="433"/>
      <c r="W2" s="147"/>
    </row>
    <row r="3" spans="1:45" s="10" customFormat="1" ht="12" customHeight="1">
      <c r="A3" s="344"/>
      <c r="B3" s="124"/>
      <c r="C3" s="124"/>
      <c r="D3" s="124"/>
      <c r="E3" s="344"/>
      <c r="F3" s="344"/>
      <c r="G3" s="344"/>
      <c r="H3" s="344"/>
      <c r="I3" s="709"/>
      <c r="J3" s="125"/>
      <c r="K3" s="124"/>
      <c r="L3" s="439"/>
      <c r="M3" s="438" t="s">
        <v>273</v>
      </c>
      <c r="N3" s="707" t="str">
        <f>IF(Paciente!O29="?","?",Paciente!O29)</f>
        <v>?</v>
      </c>
      <c r="O3" s="439" t="str">
        <f>IF(Paciente!O13="?","No puede calcularse: falta 'F. Nac'o es incorrecta",IF(Paciente!O21=0,"Falta 'Edad Gest'","Semanas de edad postmenstrual"))</f>
        <v>No puede calcularse: falta ''F. Nac''o es incorrecta</v>
      </c>
      <c r="P3" s="124"/>
      <c r="Q3" s="439"/>
      <c r="R3" s="439"/>
      <c r="S3" s="716"/>
      <c r="T3" s="439"/>
      <c r="U3" s="439"/>
      <c r="V3" s="124"/>
      <c r="W3" s="14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</row>
    <row r="4" spans="1:45" s="10" customFormat="1" ht="12" customHeight="1">
      <c r="A4" s="344"/>
      <c r="B4" s="124"/>
      <c r="C4" s="124"/>
      <c r="D4" s="124"/>
      <c r="E4" s="344"/>
      <c r="F4" s="344"/>
      <c r="G4" s="344"/>
      <c r="H4" s="344"/>
      <c r="I4" s="709"/>
      <c r="J4" s="125"/>
      <c r="K4" s="124"/>
      <c r="L4" s="439"/>
      <c r="M4" s="438"/>
      <c r="N4" s="707"/>
      <c r="O4" s="439"/>
      <c r="P4" s="124"/>
      <c r="Q4" s="439"/>
      <c r="R4" s="439"/>
      <c r="S4" s="716"/>
      <c r="T4" s="439"/>
      <c r="U4" s="439"/>
      <c r="V4" s="124"/>
      <c r="W4" s="14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</row>
    <row r="5" spans="1:45" s="909" customFormat="1" ht="12.75">
      <c r="A5" s="932"/>
      <c r="B5" s="932" t="s">
        <v>16</v>
      </c>
      <c r="C5" s="344"/>
      <c r="D5" s="344"/>
      <c r="E5" s="933" t="s">
        <v>296</v>
      </c>
      <c r="F5" s="431"/>
      <c r="G5" s="947" t="str">
        <f>IF(B6="?","?",IF(N1&lt;0,"",IF(C6="pa",IF(B6="da","1","2"),IF(C6="pb",IF(B6="da","3","4")))))</f>
        <v>2</v>
      </c>
      <c r="H5" s="932" t="s">
        <v>63</v>
      </c>
      <c r="I5" s="932" t="s">
        <v>62</v>
      </c>
      <c r="J5" s="932"/>
      <c r="K5" s="932"/>
      <c r="L5" s="932"/>
      <c r="M5" s="932"/>
      <c r="N5" s="932"/>
      <c r="O5" s="932"/>
      <c r="P5" s="932"/>
      <c r="Q5" s="932"/>
      <c r="R5" s="932"/>
      <c r="S5" s="934"/>
      <c r="T5" s="932"/>
      <c r="U5" s="932"/>
      <c r="V5" s="907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  <c r="AQ5" s="908"/>
      <c r="AR5" s="908"/>
      <c r="AS5" s="908"/>
    </row>
    <row r="6" spans="1:45" s="909" customFormat="1" ht="12.75">
      <c r="A6" s="932"/>
      <c r="B6" s="932" t="str">
        <f>IF(N1="","?",IF(N1&lt;0,"",IF(N1&lt;7,"da","db")))</f>
        <v>db</v>
      </c>
      <c r="C6" s="932" t="str">
        <f>IF(I2&lt;2,"pa",IF(I2&gt;9,"","pb"))</f>
        <v>pa</v>
      </c>
      <c r="D6" s="933"/>
      <c r="E6" s="933" t="s">
        <v>293</v>
      </c>
      <c r="F6" s="932"/>
      <c r="G6" s="948" t="str">
        <f>IF(N3="?","?",IF(N3&lt;30,1,IF(N3&lt;=36,2,IF(N3&lt;=44,3,IF(N3&gt;44,4)))))</f>
        <v>?</v>
      </c>
      <c r="H6" s="949" t="str">
        <f>IF(G6=1,IF(V12&lt;4,"A","B"),IF(G6=2,IF(V12&lt;3,"C","D"),IF(G6=3,IF(V12&lt;2,"E","F"),IF(G6=4,"G","??"))))</f>
        <v>??</v>
      </c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4"/>
      <c r="T6" s="932"/>
      <c r="U6" s="932"/>
      <c r="V6" s="907"/>
      <c r="W6" s="908"/>
      <c r="X6" s="908"/>
      <c r="Y6" s="908"/>
      <c r="Z6" s="908"/>
      <c r="AA6" s="908"/>
      <c r="AB6" s="908"/>
      <c r="AC6" s="908"/>
      <c r="AD6" s="908"/>
      <c r="AE6" s="908"/>
      <c r="AF6" s="908"/>
      <c r="AG6" s="908"/>
      <c r="AH6" s="908"/>
      <c r="AI6" s="908"/>
      <c r="AJ6" s="908"/>
      <c r="AK6" s="908"/>
      <c r="AL6" s="908"/>
      <c r="AM6" s="908"/>
      <c r="AN6" s="908"/>
      <c r="AO6" s="908"/>
      <c r="AP6" s="908"/>
      <c r="AQ6" s="908"/>
      <c r="AR6" s="908"/>
      <c r="AS6" s="908"/>
    </row>
    <row r="7" spans="1:45" s="909" customFormat="1" ht="12.75">
      <c r="A7" s="932"/>
      <c r="B7" s="932"/>
      <c r="C7" s="932"/>
      <c r="D7" s="932"/>
      <c r="E7" s="933" t="s">
        <v>294</v>
      </c>
      <c r="F7" s="932"/>
      <c r="G7" s="947" t="str">
        <f>IF(N3="?","?",IF(N3&lt;30,1,IF(N3&lt;35,2,IF(N3&gt;=35,3))))</f>
        <v>?</v>
      </c>
      <c r="H7" s="949" t="b">
        <f>IF(G7=1,IF(V12=1,"AA",IF(V12&lt;=3,"BB","CC")),IF(G7=2,IF(V12=1,"DD","EE"),IF(G7=3,"FF")))</f>
        <v>0</v>
      </c>
      <c r="I7" s="932"/>
      <c r="J7" s="932"/>
      <c r="K7" s="932" t="s">
        <v>5</v>
      </c>
      <c r="L7" s="932"/>
      <c r="M7" s="932"/>
      <c r="N7" s="932"/>
      <c r="O7" s="932"/>
      <c r="P7" s="932"/>
      <c r="Q7" s="932"/>
      <c r="R7" s="932"/>
      <c r="S7" s="934"/>
      <c r="T7" s="932"/>
      <c r="U7" s="932"/>
      <c r="V7" s="907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  <c r="AI7" s="908"/>
      <c r="AJ7" s="908"/>
      <c r="AK7" s="908"/>
      <c r="AL7" s="908"/>
      <c r="AM7" s="908"/>
      <c r="AN7" s="908"/>
      <c r="AO7" s="908"/>
      <c r="AP7" s="908"/>
      <c r="AQ7" s="908"/>
      <c r="AR7" s="908"/>
      <c r="AS7" s="908"/>
    </row>
    <row r="8" spans="1:45" s="584" customFormat="1" ht="12.75" customHeight="1">
      <c r="A8" s="935"/>
      <c r="B8" s="932"/>
      <c r="C8" s="932"/>
      <c r="D8" s="933"/>
      <c r="E8" s="933"/>
      <c r="F8" s="932"/>
      <c r="G8" s="947" t="s">
        <v>295</v>
      </c>
      <c r="H8" s="932"/>
      <c r="I8" s="932"/>
      <c r="J8" s="932"/>
      <c r="K8" s="932" t="s">
        <v>4</v>
      </c>
      <c r="L8" s="932"/>
      <c r="M8" s="932"/>
      <c r="N8" s="932"/>
      <c r="O8" s="932"/>
      <c r="P8" s="932"/>
      <c r="Q8" s="932"/>
      <c r="R8" s="932"/>
      <c r="S8" s="934"/>
      <c r="T8" s="932"/>
      <c r="U8" s="932"/>
      <c r="V8" s="583"/>
      <c r="W8" s="147"/>
      <c r="X8" s="867"/>
      <c r="Y8" s="867"/>
      <c r="Z8" s="867"/>
      <c r="AA8" s="867"/>
      <c r="AB8" s="867"/>
      <c r="AC8" s="867"/>
      <c r="AD8" s="867"/>
      <c r="AE8" s="867"/>
      <c r="AF8" s="867"/>
      <c r="AG8" s="867"/>
      <c r="AH8" s="867"/>
      <c r="AI8" s="867"/>
      <c r="AJ8" s="867"/>
      <c r="AK8" s="867"/>
      <c r="AL8" s="867"/>
      <c r="AM8" s="867"/>
      <c r="AN8" s="867"/>
      <c r="AO8" s="867"/>
      <c r="AP8" s="867"/>
      <c r="AQ8" s="867"/>
      <c r="AR8" s="867"/>
      <c r="AS8" s="867"/>
    </row>
    <row r="9" spans="1:22" ht="9.75" customHeight="1">
      <c r="A9" s="870" t="s">
        <v>274</v>
      </c>
      <c r="B9" s="1015" t="s">
        <v>328</v>
      </c>
      <c r="C9" s="1016"/>
      <c r="D9" s="1016"/>
      <c r="E9" s="1018" t="s">
        <v>372</v>
      </c>
      <c r="F9" s="1019"/>
      <c r="G9" s="1022" t="s">
        <v>306</v>
      </c>
      <c r="H9" s="1021" t="s">
        <v>126</v>
      </c>
      <c r="I9" s="1016"/>
      <c r="J9" s="1016"/>
      <c r="K9" s="1016"/>
      <c r="L9" s="1016"/>
      <c r="M9" s="1016"/>
      <c r="N9" s="574"/>
      <c r="O9" s="574"/>
      <c r="P9" s="574"/>
      <c r="Q9" s="574"/>
      <c r="R9" s="576"/>
      <c r="S9" s="911" t="s">
        <v>365</v>
      </c>
      <c r="T9" s="1011" t="s">
        <v>385</v>
      </c>
      <c r="U9" s="1012"/>
      <c r="V9" s="960" t="s">
        <v>146</v>
      </c>
    </row>
    <row r="10" spans="1:22" ht="9.75" customHeight="1">
      <c r="A10" s="870"/>
      <c r="B10" s="1017"/>
      <c r="C10" s="1013"/>
      <c r="D10" s="1013"/>
      <c r="E10" s="1020"/>
      <c r="F10" s="1020"/>
      <c r="G10" s="1023"/>
      <c r="H10" s="1013"/>
      <c r="I10" s="1013"/>
      <c r="J10" s="1013"/>
      <c r="K10" s="1013"/>
      <c r="L10" s="1013"/>
      <c r="M10" s="1013"/>
      <c r="N10" s="575"/>
      <c r="O10" s="575"/>
      <c r="P10" s="575"/>
      <c r="Q10" s="575"/>
      <c r="R10" s="910" t="s">
        <v>192</v>
      </c>
      <c r="S10" s="910"/>
      <c r="T10" s="1013"/>
      <c r="U10" s="1014"/>
      <c r="V10" s="583"/>
    </row>
    <row r="11" spans="1:45" s="10" customFormat="1" ht="12" customHeight="1">
      <c r="A11" s="870"/>
      <c r="B11" s="474"/>
      <c r="C11" s="474"/>
      <c r="D11" s="475"/>
      <c r="E11" s="474"/>
      <c r="F11" s="476"/>
      <c r="G11" s="477"/>
      <c r="H11" s="474"/>
      <c r="I11" s="474"/>
      <c r="J11" s="474"/>
      <c r="K11" s="474"/>
      <c r="L11" s="474"/>
      <c r="M11" s="474"/>
      <c r="N11" s="474"/>
      <c r="O11" s="474"/>
      <c r="P11" s="415"/>
      <c r="Q11" s="474"/>
      <c r="R11" s="479"/>
      <c r="S11" s="719"/>
      <c r="T11" s="479"/>
      <c r="U11" s="474"/>
      <c r="V11" s="583">
        <v>400</v>
      </c>
      <c r="W11" s="14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</row>
    <row r="12" spans="1:22" ht="13.5" customHeight="1">
      <c r="A12" s="870"/>
      <c r="B12" s="179" t="s">
        <v>310</v>
      </c>
      <c r="C12" s="180"/>
      <c r="D12" s="180"/>
      <c r="E12" s="723">
        <f>25*I2</f>
        <v>48.5</v>
      </c>
      <c r="F12" s="180"/>
      <c r="G12" s="429" t="str">
        <f>IF(H6="A","/ 12 hr",IF(H6="B","/ 8 hr",IF(H6="C","/ 12 hr",IF(H6="D","/ 8 hr",IF(H6="E","/ 12 hr",IF(H6="F","/ 8 hr",IF(H6="G","/ 6 hr","¿?")))))))</f>
        <v>¿?</v>
      </c>
      <c r="H12" s="182" t="s">
        <v>276</v>
      </c>
      <c r="I12" s="182"/>
      <c r="J12" s="182"/>
      <c r="K12" s="182"/>
      <c r="L12" s="182"/>
      <c r="M12" s="182"/>
      <c r="N12" s="182"/>
      <c r="O12" s="182"/>
      <c r="P12" s="744"/>
      <c r="Q12" s="182"/>
      <c r="R12" s="507"/>
      <c r="S12" s="427" t="s">
        <v>8</v>
      </c>
      <c r="T12" s="182"/>
      <c r="U12" s="706" t="s">
        <v>138</v>
      </c>
      <c r="V12" s="918" t="str">
        <f>IF(N1="?","?",IF(N1&lt;=7,1,IF(N1&lt;=14,2,IF(N1&lt;=28,3,IF(N1&gt;28,4)))))</f>
        <v>?</v>
      </c>
    </row>
    <row r="13" spans="1:22" ht="13.5" customHeight="1">
      <c r="A13" s="870"/>
      <c r="B13" s="179" t="s">
        <v>85</v>
      </c>
      <c r="C13" s="180"/>
      <c r="D13" s="180"/>
      <c r="E13" s="734">
        <f>25000*I2</f>
        <v>48500</v>
      </c>
      <c r="F13" s="420"/>
      <c r="G13" s="429" t="str">
        <f>IF(H6="A","/ 12 hr",IF(H6="B","/ 8 hr",IF(H6="C","/ 12 hr",IF(H6="D","/ 8 hr",IF(H6="E","/ 12 hr",IF(H6="F","/ 8 hr",IF(H6="G","/ 6 hr","¿?")))))))</f>
        <v>¿?</v>
      </c>
      <c r="H13" s="182" t="s">
        <v>29</v>
      </c>
      <c r="I13" s="182"/>
      <c r="J13" s="182"/>
      <c r="K13" s="182"/>
      <c r="L13" s="182"/>
      <c r="M13" s="182"/>
      <c r="N13" s="182"/>
      <c r="O13" s="182"/>
      <c r="P13" s="182"/>
      <c r="Q13" s="182"/>
      <c r="R13" s="507"/>
      <c r="S13" s="427" t="s">
        <v>8</v>
      </c>
      <c r="T13" s="713"/>
      <c r="U13" s="714" t="s">
        <v>194</v>
      </c>
      <c r="V13" s="918"/>
    </row>
    <row r="14" spans="1:22" ht="13.5" customHeight="1">
      <c r="A14" s="870"/>
      <c r="B14" s="179" t="s">
        <v>86</v>
      </c>
      <c r="C14" s="180"/>
      <c r="D14" s="180"/>
      <c r="E14" s="723">
        <f>IF(G5&lt;"0,5","¿edad?",IF(G5="1",25*I2,IF(G5="2",25*I2,IF(G5="3",33.34*I2,IF(G5&gt;="4",37.1*I2,"**")))))</f>
        <v>48.5</v>
      </c>
      <c r="F14" s="420"/>
      <c r="G14" s="429" t="str">
        <f>IF(G5&lt;"0,5","¿edad?",IF(G5="1","/ 12 hr",IF(G5="2","/ 8 hr",IF(G5="3","/ 8 hr",IF(G5&gt;="4","/ 6 hr","**")))))</f>
        <v>/ 8 hr</v>
      </c>
      <c r="H14" s="182" t="s">
        <v>29</v>
      </c>
      <c r="I14" s="182"/>
      <c r="J14" s="182"/>
      <c r="K14" s="182"/>
      <c r="L14" s="182"/>
      <c r="M14" s="182"/>
      <c r="N14" s="182"/>
      <c r="O14" s="182"/>
      <c r="P14" s="182"/>
      <c r="Q14" s="182"/>
      <c r="R14" s="507"/>
      <c r="S14" s="427"/>
      <c r="T14" s="182"/>
      <c r="U14" s="706" t="s">
        <v>217</v>
      </c>
      <c r="V14" s="918"/>
    </row>
    <row r="15" spans="1:22" ht="13.5" customHeight="1">
      <c r="A15" s="870"/>
      <c r="B15" s="179" t="s">
        <v>57</v>
      </c>
      <c r="C15" s="180"/>
      <c r="D15" s="180"/>
      <c r="E15" s="724">
        <f>75*I2</f>
        <v>145.5</v>
      </c>
      <c r="F15" s="420"/>
      <c r="G15" s="429" t="str">
        <f>IF(G5&lt;"0,5","¿edad?",IF(G5="1","/ 12 hr",IF(G5="2","/ 8 hr",IF(G5="3","/ 8 hr",IF(G5&gt;="4","/ 6 hr","**")))))</f>
        <v>/ 8 hr</v>
      </c>
      <c r="H15" s="725"/>
      <c r="I15" s="182"/>
      <c r="J15" s="182"/>
      <c r="K15" s="182"/>
      <c r="L15" s="182"/>
      <c r="M15" s="182"/>
      <c r="N15" s="182"/>
      <c r="O15" s="182"/>
      <c r="P15" s="182"/>
      <c r="Q15" s="182"/>
      <c r="R15" s="507"/>
      <c r="S15" s="427" t="s">
        <v>8</v>
      </c>
      <c r="T15" s="182"/>
      <c r="U15" s="184" t="s">
        <v>56</v>
      </c>
      <c r="V15" s="126"/>
    </row>
    <row r="16" spans="1:22" ht="13.5" customHeight="1">
      <c r="A16" s="345"/>
      <c r="B16" s="179" t="s">
        <v>268</v>
      </c>
      <c r="C16" s="180"/>
      <c r="D16" s="180"/>
      <c r="E16" s="724">
        <f>50*I2</f>
        <v>97</v>
      </c>
      <c r="F16" s="420"/>
      <c r="G16" s="429" t="str">
        <f>IF(H6="A","/ 12 hr",IF(H6="B","/ 8 hr",IF(H6="C","/ 12 hr",IF(H6="D","/ 8 hr",IF(H6="E","/ 12 hr",IF(H6="F","/ 8 hr",IF(H6="G","/ 8 hr","¿?")))))))</f>
        <v>¿?</v>
      </c>
      <c r="H16" s="712" t="s">
        <v>277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507"/>
      <c r="S16" s="427" t="s">
        <v>8</v>
      </c>
      <c r="T16" s="182"/>
      <c r="U16" s="706" t="s">
        <v>218</v>
      </c>
      <c r="V16" s="126"/>
    </row>
    <row r="17" spans="1:45" s="10" customFormat="1" ht="28.5" customHeight="1">
      <c r="A17" s="344"/>
      <c r="B17" s="474"/>
      <c r="C17" s="474"/>
      <c r="D17" s="475"/>
      <c r="E17" s="474"/>
      <c r="F17" s="476"/>
      <c r="G17" s="477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9"/>
      <c r="S17" s="719"/>
      <c r="T17" s="479"/>
      <c r="U17" s="474"/>
      <c r="V17" s="124"/>
      <c r="W17" s="14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</row>
    <row r="18" spans="1:45" s="10" customFormat="1" ht="7.5" customHeight="1">
      <c r="A18" s="344"/>
      <c r="B18" s="738"/>
      <c r="C18" s="738"/>
      <c r="D18" s="739"/>
      <c r="E18" s="738"/>
      <c r="F18" s="740"/>
      <c r="G18" s="741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42"/>
      <c r="S18" s="743"/>
      <c r="T18" s="742"/>
      <c r="U18" s="738"/>
      <c r="V18" s="124"/>
      <c r="W18" s="14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1:22" ht="13.5" customHeight="1">
      <c r="A19" s="345"/>
      <c r="B19" s="179" t="s">
        <v>286</v>
      </c>
      <c r="C19" s="180"/>
      <c r="D19" s="180"/>
      <c r="E19" s="724">
        <f>IF(G5&lt;"0,5","¿edad?",IF(G5="1",25*I2,IF(G5="2",50*I2,IF(G5="3",25*I2,IF(G5&gt;="4",50*I2,"**")))))</f>
        <v>97</v>
      </c>
      <c r="F19" s="420"/>
      <c r="G19" s="429" t="str">
        <f>IF(G5&lt;"0,5","¿edad?",IF(G5="1","/ 12 hr",IF(G5="2","/ 12 hr",IF(G5="3","/ 12 hr",IF(G5&gt;="4","/ 8 hr","**")))))</f>
        <v>/ 12 hr</v>
      </c>
      <c r="H19" s="182" t="s">
        <v>408</v>
      </c>
      <c r="I19" s="182"/>
      <c r="J19" s="182"/>
      <c r="K19" s="182"/>
      <c r="L19" s="182"/>
      <c r="M19" s="182"/>
      <c r="N19" s="182"/>
      <c r="O19" s="182"/>
      <c r="P19" s="182"/>
      <c r="Q19" s="182"/>
      <c r="R19" s="507"/>
      <c r="S19" s="427" t="s">
        <v>8</v>
      </c>
      <c r="T19" s="182"/>
      <c r="U19" s="706" t="s">
        <v>219</v>
      </c>
      <c r="V19" s="126"/>
    </row>
    <row r="20" spans="1:22" ht="13.5" customHeight="1">
      <c r="A20" s="345"/>
      <c r="B20" s="179" t="s">
        <v>240</v>
      </c>
      <c r="C20" s="180"/>
      <c r="D20" s="180"/>
      <c r="E20" s="723">
        <f>25*I2</f>
        <v>48.5</v>
      </c>
      <c r="F20" s="420"/>
      <c r="G20" s="429" t="str">
        <f>IF(H6="A","/ 12 hr",IF(H6="B","/ 8 hr",IF(H6="C","/ 12 hr",IF(H6="D","/ 8 hr",IF(H6="E","/ 12 hr",IF(H6="F","/ 8 hr",IF(H6="G","/ 6 hr","¿?")))))))</f>
        <v>¿?</v>
      </c>
      <c r="H20" s="182" t="s">
        <v>214</v>
      </c>
      <c r="I20" s="182"/>
      <c r="J20" s="182"/>
      <c r="K20" s="182"/>
      <c r="L20" s="182"/>
      <c r="M20" s="182"/>
      <c r="N20" s="182"/>
      <c r="O20" s="182"/>
      <c r="P20" s="182"/>
      <c r="Q20" s="182"/>
      <c r="R20" s="507"/>
      <c r="S20" s="427" t="s">
        <v>8</v>
      </c>
      <c r="T20" s="182"/>
      <c r="U20" s="706" t="s">
        <v>220</v>
      </c>
      <c r="V20" s="126"/>
    </row>
    <row r="21" spans="1:22" ht="13.5" customHeight="1">
      <c r="A21" s="345"/>
      <c r="B21" s="179" t="s">
        <v>130</v>
      </c>
      <c r="C21" s="180"/>
      <c r="D21" s="180"/>
      <c r="E21" s="723">
        <f>50*I2</f>
        <v>97</v>
      </c>
      <c r="F21" s="420"/>
      <c r="G21" s="429" t="str">
        <f>IF(H6="A","/ 12 hr",IF(H6="B","/ 8 hr",IF(H6="C","/ 12 hr",IF(H6="D","/ 8 hr",IF(H6="E","/ 12 hr",IF(H6="F","/ 8 hr",IF(H6="G","/ 6 hr","¿?")))))))</f>
        <v>¿?</v>
      </c>
      <c r="H21" s="182" t="s">
        <v>267</v>
      </c>
      <c r="I21" s="182"/>
      <c r="J21" s="182"/>
      <c r="K21" s="180"/>
      <c r="L21" s="180"/>
      <c r="M21" s="180"/>
      <c r="N21" s="180"/>
      <c r="O21" s="180"/>
      <c r="P21" s="180"/>
      <c r="Q21" s="180"/>
      <c r="R21" s="507"/>
      <c r="S21" s="427" t="s">
        <v>9</v>
      </c>
      <c r="T21" s="182"/>
      <c r="U21" s="184" t="s">
        <v>96</v>
      </c>
      <c r="V21" s="126"/>
    </row>
    <row r="22" spans="1:22" ht="13.5" customHeight="1">
      <c r="A22" s="345"/>
      <c r="B22" s="179" t="s">
        <v>378</v>
      </c>
      <c r="C22" s="180"/>
      <c r="D22" s="180"/>
      <c r="E22" s="723">
        <f>50*I2</f>
        <v>97</v>
      </c>
      <c r="F22" s="420"/>
      <c r="G22" s="429" t="s">
        <v>187</v>
      </c>
      <c r="H22" s="182" t="s">
        <v>269</v>
      </c>
      <c r="I22" s="182"/>
      <c r="J22" s="182"/>
      <c r="K22" s="180"/>
      <c r="L22" s="180"/>
      <c r="M22" s="180"/>
      <c r="N22" s="180"/>
      <c r="O22" s="180"/>
      <c r="P22" s="180"/>
      <c r="Q22" s="180"/>
      <c r="R22" s="507"/>
      <c r="S22" s="427" t="s">
        <v>9</v>
      </c>
      <c r="T22" s="182"/>
      <c r="U22" s="706" t="s">
        <v>218</v>
      </c>
      <c r="V22" s="126"/>
    </row>
    <row r="23" spans="1:22" ht="13.5" customHeight="1">
      <c r="A23" s="345"/>
      <c r="B23" s="179" t="s">
        <v>326</v>
      </c>
      <c r="C23" s="180"/>
      <c r="D23" s="180"/>
      <c r="E23" s="723">
        <f>30*I2</f>
        <v>58.199999999999996</v>
      </c>
      <c r="F23" s="420"/>
      <c r="G23" s="429" t="str">
        <f>IF(H6="A","/ 12 hr",IF(H6="B","/ 8 hr",IF(H6="C","/ 12 hr",IF(H6="D","/ 8 hr",IF(H6="E","/ 12 hr",IF(H6="F","/ 8 hr",IF(H6="G","/ 8 hr","¿?")))))))</f>
        <v>¿?</v>
      </c>
      <c r="H23" s="182"/>
      <c r="I23" s="182"/>
      <c r="J23" s="182"/>
      <c r="K23" s="180"/>
      <c r="L23" s="180"/>
      <c r="M23" s="180"/>
      <c r="N23" s="180"/>
      <c r="O23" s="180"/>
      <c r="P23" s="180"/>
      <c r="Q23" s="180"/>
      <c r="R23" s="507"/>
      <c r="S23" s="427" t="s">
        <v>9</v>
      </c>
      <c r="T23" s="182"/>
      <c r="U23" s="184" t="s">
        <v>158</v>
      </c>
      <c r="V23" s="126"/>
    </row>
    <row r="24" spans="1:45" s="10" customFormat="1" ht="28.5" customHeight="1">
      <c r="A24" s="344"/>
      <c r="B24" s="474"/>
      <c r="C24" s="474"/>
      <c r="D24" s="475"/>
      <c r="E24" s="474"/>
      <c r="F24" s="476"/>
      <c r="G24" s="477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9"/>
      <c r="S24" s="719"/>
      <c r="T24" s="479"/>
      <c r="U24" s="474"/>
      <c r="V24" s="124"/>
      <c r="W24" s="14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</row>
    <row r="25" spans="1:22" ht="13.5" customHeight="1">
      <c r="A25" s="345"/>
      <c r="B25" s="179" t="s">
        <v>285</v>
      </c>
      <c r="C25" s="180"/>
      <c r="D25" s="180"/>
      <c r="E25" s="723">
        <f>30*I2</f>
        <v>58.199999999999996</v>
      </c>
      <c r="F25" s="420"/>
      <c r="G25" s="429" t="str">
        <f>IF(H6="A","/ 12 hr",IF(H6="B","/ 8 hr",IF(H6="C","/ 12 hr",IF(H6="D","/ 8 hr",IF(H6="E","/ 12 hr",IF(H6="F","/ 8 hr",IF(H6="G","/ 6 hr","¿?")))))))</f>
        <v>¿?</v>
      </c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507"/>
      <c r="S25" s="427" t="s">
        <v>9</v>
      </c>
      <c r="T25" s="182"/>
      <c r="U25" s="184" t="s">
        <v>158</v>
      </c>
      <c r="V25" s="126"/>
    </row>
    <row r="26" spans="1:45" s="10" customFormat="1" ht="28.5" customHeight="1">
      <c r="A26" s="344"/>
      <c r="B26" s="474"/>
      <c r="C26" s="474"/>
      <c r="D26" s="475"/>
      <c r="E26" s="474"/>
      <c r="F26" s="476"/>
      <c r="G26" s="477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9"/>
      <c r="S26" s="719"/>
      <c r="T26" s="479"/>
      <c r="U26" s="474"/>
      <c r="V26" s="124"/>
      <c r="W26" s="14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</row>
    <row r="27" spans="1:22" ht="13.5" customHeight="1">
      <c r="A27" s="345"/>
      <c r="B27" s="179" t="s">
        <v>324</v>
      </c>
      <c r="C27" s="180"/>
      <c r="D27" s="180"/>
      <c r="E27" s="723">
        <f>20*I2</f>
        <v>38.8</v>
      </c>
      <c r="F27" s="420"/>
      <c r="G27" s="736" t="s">
        <v>153</v>
      </c>
      <c r="H27" s="182" t="s">
        <v>152</v>
      </c>
      <c r="I27" s="182"/>
      <c r="J27" s="182"/>
      <c r="K27" s="180"/>
      <c r="L27" s="180"/>
      <c r="M27" s="180"/>
      <c r="N27" s="180"/>
      <c r="O27" s="180"/>
      <c r="P27" s="180"/>
      <c r="Q27" s="180"/>
      <c r="R27" s="507"/>
      <c r="S27" s="427" t="s">
        <v>9</v>
      </c>
      <c r="T27" s="182"/>
      <c r="U27" s="706" t="s">
        <v>410</v>
      </c>
      <c r="V27" s="126"/>
    </row>
    <row r="28" spans="1:22" ht="3.75" customHeight="1">
      <c r="A28" s="345"/>
      <c r="B28" s="415"/>
      <c r="C28" s="415"/>
      <c r="D28" s="430"/>
      <c r="E28" s="415"/>
      <c r="F28" s="421"/>
      <c r="G28" s="416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8"/>
      <c r="S28" s="717"/>
      <c r="T28" s="418"/>
      <c r="U28" s="415"/>
      <c r="V28" s="126"/>
    </row>
    <row r="29" spans="1:22" ht="13.5" customHeight="1">
      <c r="A29" s="345"/>
      <c r="B29" s="179" t="s">
        <v>405</v>
      </c>
      <c r="C29" s="180"/>
      <c r="D29" s="180"/>
      <c r="E29" s="723">
        <f>20*I2</f>
        <v>38.8</v>
      </c>
      <c r="F29" s="420"/>
      <c r="G29" s="429" t="s">
        <v>153</v>
      </c>
      <c r="H29" s="182" t="s">
        <v>406</v>
      </c>
      <c r="I29" s="182"/>
      <c r="J29" s="182"/>
      <c r="K29" s="180"/>
      <c r="L29" s="180"/>
      <c r="M29" s="180"/>
      <c r="N29" s="180"/>
      <c r="O29" s="180"/>
      <c r="P29" s="180"/>
      <c r="Q29" s="180"/>
      <c r="R29" s="507"/>
      <c r="S29" s="427" t="s">
        <v>9</v>
      </c>
      <c r="T29" s="182"/>
      <c r="U29" s="706" t="s">
        <v>407</v>
      </c>
      <c r="V29" s="126"/>
    </row>
    <row r="30" spans="1:45" s="10" customFormat="1" ht="28.5" customHeight="1">
      <c r="A30" s="344"/>
      <c r="B30" s="474"/>
      <c r="C30" s="474"/>
      <c r="D30" s="475"/>
      <c r="E30" s="474"/>
      <c r="F30" s="476"/>
      <c r="G30" s="477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9"/>
      <c r="S30" s="719"/>
      <c r="T30" s="479"/>
      <c r="U30" s="474"/>
      <c r="V30" s="124"/>
      <c r="W30" s="14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1:22" ht="13.5" customHeight="1">
      <c r="A31" s="345"/>
      <c r="B31" s="179" t="s">
        <v>325</v>
      </c>
      <c r="C31" s="180"/>
      <c r="D31" s="180"/>
      <c r="E31" s="723">
        <f>10*I2</f>
        <v>19.4</v>
      </c>
      <c r="F31" s="420"/>
      <c r="G31" s="429" t="s">
        <v>350</v>
      </c>
      <c r="H31" s="182" t="s">
        <v>165</v>
      </c>
      <c r="I31" s="182"/>
      <c r="J31" s="182"/>
      <c r="K31" s="180"/>
      <c r="L31" s="180"/>
      <c r="M31" s="180"/>
      <c r="N31" s="180"/>
      <c r="O31" s="180"/>
      <c r="P31" s="180"/>
      <c r="Q31" s="180"/>
      <c r="R31" s="507"/>
      <c r="S31" s="427"/>
      <c r="T31" s="182"/>
      <c r="U31" s="184" t="s">
        <v>349</v>
      </c>
      <c r="V31" s="126"/>
    </row>
    <row r="32" spans="1:22" ht="3.75" customHeight="1">
      <c r="A32" s="345"/>
      <c r="B32" s="415"/>
      <c r="C32" s="415"/>
      <c r="D32" s="430"/>
      <c r="E32" s="415"/>
      <c r="F32" s="421"/>
      <c r="G32" s="416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8"/>
      <c r="S32" s="717"/>
      <c r="T32" s="418"/>
      <c r="U32" s="415"/>
      <c r="V32" s="126"/>
    </row>
    <row r="33" spans="1:22" ht="13.5" customHeight="1">
      <c r="A33" s="345"/>
      <c r="B33" s="179" t="s">
        <v>131</v>
      </c>
      <c r="C33" s="180"/>
      <c r="D33" s="180"/>
      <c r="E33" s="723">
        <f>5*I2</f>
        <v>9.7</v>
      </c>
      <c r="F33" s="420"/>
      <c r="G33" s="429" t="str">
        <f>IF(H6="A","/ 12 hr",IF(H6="B","/ 8 hr",IF(H6="C","/ 12 hr",IF(H6="D","/ 8 hr",IF(H6="E","/ 12 hr",IF(H6="F","/ 8 hr",IF(H6="G","/ 6 hr","¿?")))))))</f>
        <v>¿?</v>
      </c>
      <c r="H33" s="182" t="s">
        <v>259</v>
      </c>
      <c r="I33" s="182"/>
      <c r="J33" s="182"/>
      <c r="K33" s="180"/>
      <c r="L33" s="180"/>
      <c r="M33" s="180"/>
      <c r="N33" s="180"/>
      <c r="O33" s="180"/>
      <c r="P33" s="180"/>
      <c r="Q33" s="180"/>
      <c r="R33" s="507"/>
      <c r="S33" s="427"/>
      <c r="T33" s="182"/>
      <c r="U33" s="184" t="s">
        <v>166</v>
      </c>
      <c r="V33" s="126"/>
    </row>
    <row r="34" spans="1:22" ht="3.75" customHeight="1">
      <c r="A34" s="345"/>
      <c r="B34" s="415"/>
      <c r="C34" s="415"/>
      <c r="D34" s="430"/>
      <c r="E34" s="415"/>
      <c r="F34" s="421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8"/>
      <c r="S34" s="717"/>
      <c r="T34" s="418"/>
      <c r="U34" s="415"/>
      <c r="V34" s="126"/>
    </row>
    <row r="35" spans="1:22" ht="13.5" customHeight="1">
      <c r="A35" s="345"/>
      <c r="B35" s="179" t="s">
        <v>111</v>
      </c>
      <c r="C35" s="180"/>
      <c r="D35" s="180"/>
      <c r="E35" s="723">
        <f>15*I2</f>
        <v>29.099999999999998</v>
      </c>
      <c r="F35" s="420"/>
      <c r="G35" s="419" t="s">
        <v>167</v>
      </c>
      <c r="H35" s="1009">
        <f>7.5*I2</f>
        <v>14.549999999999999</v>
      </c>
      <c r="I35" s="1010"/>
      <c r="J35" s="1010"/>
      <c r="K35" s="726" t="str">
        <f>IF(H6="A","/ 48 hr",IF(H6="B","/ 24 hr",IF(H6="C","/ 24 hr",IF(H6="D","/ 12 hr",IF(H6="E","/ 24 hr",IF(H6="F","/ 12 hr",IF(H6="G","/ 8 hr","¿?")))))))</f>
        <v>¿?</v>
      </c>
      <c r="L35" s="180" t="s">
        <v>129</v>
      </c>
      <c r="M35" s="180"/>
      <c r="N35" s="180"/>
      <c r="P35" s="180"/>
      <c r="Q35" s="180"/>
      <c r="R35" s="507"/>
      <c r="S35" s="427"/>
      <c r="T35" s="182"/>
      <c r="U35" s="184" t="s">
        <v>367</v>
      </c>
      <c r="V35" s="126"/>
    </row>
    <row r="36" spans="1:45" s="10" customFormat="1" ht="28.5" customHeight="1">
      <c r="A36" s="870"/>
      <c r="B36" s="474"/>
      <c r="C36" s="474"/>
      <c r="D36" s="475"/>
      <c r="E36" s="474"/>
      <c r="F36" s="476"/>
      <c r="G36" s="477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9"/>
      <c r="S36" s="719"/>
      <c r="T36" s="479"/>
      <c r="U36" s="474"/>
      <c r="V36" s="124"/>
      <c r="W36" s="14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</row>
    <row r="37" spans="1:22" ht="12" customHeight="1">
      <c r="A37" s="935" t="s">
        <v>396</v>
      </c>
      <c r="B37" s="440" t="s">
        <v>272</v>
      </c>
      <c r="C37" s="128"/>
      <c r="D37" s="128"/>
      <c r="E37" s="871" t="str">
        <f>IF(H7="AA",I2*5,IF(H7="BB",I2*4,IF(H7="CC",I2*4,IF(H7="DD",I2*4.5,IF(H7="EE",I2*4,IF(H7="FF",I2*4,"¿?"))))))</f>
        <v>¿?</v>
      </c>
      <c r="F37" s="950"/>
      <c r="G37" s="873" t="str">
        <f>IF(H7="AA","/ 48 hr",IF(H7="BB","/ 36 hr",IF(H7="CC","/ 24 hr",IF(H7="DD","/ 36 hr",IF(H7="EE","/ 24 hr",IF(H7="FF","/ 24 hr","¿?"))))))</f>
        <v>¿?</v>
      </c>
      <c r="H37" s="873" t="str">
        <f>IF(N1&gt;7,"al ser mayor de 1 semana de vida: puede ser aconsejable variar intervalo según niveles","")</f>
        <v>al ser mayor de 1 semana de vida: puede ser aconsejable variar intervalo según niveles</v>
      </c>
      <c r="I37" s="130"/>
      <c r="J37" s="130"/>
      <c r="K37" s="128"/>
      <c r="L37" s="128"/>
      <c r="M37" s="128"/>
      <c r="N37" s="128"/>
      <c r="O37" s="128"/>
      <c r="P37" s="128"/>
      <c r="Q37" s="128"/>
      <c r="R37" s="728" t="s">
        <v>11</v>
      </c>
      <c r="S37" s="729" t="s">
        <v>10</v>
      </c>
      <c r="T37" s="130"/>
      <c r="U37" s="448" t="s">
        <v>271</v>
      </c>
      <c r="V37" s="126"/>
    </row>
    <row r="38" spans="1:22" ht="9.75" customHeight="1">
      <c r="A38" s="870"/>
      <c r="B38" s="321"/>
      <c r="D38" s="132"/>
      <c r="E38" s="936"/>
      <c r="F38" s="731"/>
      <c r="G38" s="951" t="s">
        <v>303</v>
      </c>
      <c r="H38" s="952">
        <f>IF(N1&lt;=7,I2*5,I2*4)</f>
        <v>7.76</v>
      </c>
      <c r="I38" s="953" t="str">
        <f>IF(N1&lt;=7,"/48hr",IF(N1&lt;=28,"/36hr","/24hr"))</f>
        <v>/24hr</v>
      </c>
      <c r="J38" s="134"/>
      <c r="K38" s="2" t="s">
        <v>366</v>
      </c>
      <c r="L38" s="132"/>
      <c r="M38" s="132"/>
      <c r="N38" s="132"/>
      <c r="O38" s="132"/>
      <c r="P38" s="132"/>
      <c r="Q38" s="132"/>
      <c r="R38" s="732"/>
      <c r="S38" s="733"/>
      <c r="T38" s="134"/>
      <c r="U38" s="452"/>
      <c r="V38" s="126"/>
    </row>
    <row r="39" spans="1:22" ht="12" customHeight="1">
      <c r="A39" s="935"/>
      <c r="B39" s="440" t="s">
        <v>168</v>
      </c>
      <c r="C39" s="128"/>
      <c r="D39" s="128"/>
      <c r="E39" s="871" t="str">
        <f>IF(H7="AA",I2*5,IF(H7="BB",I2*4,IF(H7="CC",I2*4,IF(H7="DD",I2*4.5,IF(H7="EE",I2*4,IF(H7="FF",I2*4,"¿?"))))))</f>
        <v>¿?</v>
      </c>
      <c r="F39" s="950"/>
      <c r="G39" s="873" t="str">
        <f>IF(H7="AA","/ 48 hr",IF(H7="BB","/ 36 hr",IF(H7="CC","/ 24 hr",IF(H7="DD","/ 36 hr",IF(H7="EE","/ 24 hr",IF(H7="FF","/ 24 hr","¿?"))))))</f>
        <v>¿?</v>
      </c>
      <c r="H39" s="873" t="str">
        <f>IF(N1&gt;7,"al ser mayor de 1 semana de vida: puede ser aconsejable variar intervalo según niveles","")</f>
        <v>al ser mayor de 1 semana de vida: puede ser aconsejable variar intervalo según niveles</v>
      </c>
      <c r="I39" s="130"/>
      <c r="J39" s="130"/>
      <c r="K39" s="128"/>
      <c r="L39" s="128"/>
      <c r="M39" s="128"/>
      <c r="N39" s="128"/>
      <c r="O39" s="128"/>
      <c r="P39" s="128"/>
      <c r="Q39" s="128"/>
      <c r="R39" s="728" t="s">
        <v>11</v>
      </c>
      <c r="S39" s="729" t="s">
        <v>10</v>
      </c>
      <c r="T39" s="130"/>
      <c r="U39" s="448" t="s">
        <v>271</v>
      </c>
      <c r="V39" s="126"/>
    </row>
    <row r="40" spans="1:22" ht="9.75" customHeight="1">
      <c r="A40" s="870"/>
      <c r="B40" s="321"/>
      <c r="D40" s="132"/>
      <c r="E40" s="936"/>
      <c r="F40" s="731"/>
      <c r="G40" s="951" t="s">
        <v>303</v>
      </c>
      <c r="H40" s="952">
        <f>IF(N1&lt;=7,I2*5,I2*4)</f>
        <v>7.76</v>
      </c>
      <c r="I40" s="953" t="str">
        <f>IF(N1&lt;=7,"/48hr",IF(N1&lt;=28,"/36hr","/24hr"))</f>
        <v>/24hr</v>
      </c>
      <c r="J40" s="134"/>
      <c r="K40" s="2" t="s">
        <v>366</v>
      </c>
      <c r="L40" s="132"/>
      <c r="M40" s="132"/>
      <c r="N40" s="132"/>
      <c r="O40" s="132"/>
      <c r="P40" s="132"/>
      <c r="Q40" s="132"/>
      <c r="R40" s="732"/>
      <c r="S40" s="733"/>
      <c r="T40" s="134"/>
      <c r="U40" s="452"/>
      <c r="V40" s="126"/>
    </row>
    <row r="41" spans="1:22" ht="12" customHeight="1">
      <c r="A41" s="935">
        <f>IF(N2="?","?",IF(N2&lt;28,1,IF(N2&lt;31,2,IF(N2&lt;34,3,IF(N2&gt;33,4)))))</f>
        <v>4</v>
      </c>
      <c r="B41" s="440" t="s">
        <v>229</v>
      </c>
      <c r="C41" s="128"/>
      <c r="D41" s="128"/>
      <c r="E41" s="871" t="str">
        <f>IF(H7="AA",I2*18,IF(H7="BB",I2*15,IF(H7="CC",I2*15,IF(H7="DD",I2*18,IF(H7="EE",I2*15,IF(H7="FF",I2*15,"¿?"))))))</f>
        <v>¿?</v>
      </c>
      <c r="F41" s="872"/>
      <c r="G41" s="873" t="str">
        <f>IF(H7="AA","/ 48 hr",IF(H7="BB","/ 36 hr",IF(H7="CC","/ 24 hr",IF(H7="DD","/ 36 hr",IF(H7="EE","/ 24 hr",IF(H7="FF","/ 24 hr","¿?"))))))</f>
        <v>¿?</v>
      </c>
      <c r="H41" s="873" t="str">
        <f>IF(N1&gt;7,"al ser mayor de 1 semana de vida: puede ser aconsejable variar intervalo según niveles","")</f>
        <v>al ser mayor de 1 semana de vida: puede ser aconsejable variar intervalo según niveles</v>
      </c>
      <c r="I41" s="130"/>
      <c r="J41" s="130"/>
      <c r="K41" s="128"/>
      <c r="L41" s="128"/>
      <c r="M41" s="128"/>
      <c r="N41" s="128"/>
      <c r="O41" s="128"/>
      <c r="P41" s="128"/>
      <c r="Q41" s="128"/>
      <c r="R41" s="728"/>
      <c r="S41" s="729"/>
      <c r="T41" s="130"/>
      <c r="U41" s="448" t="s">
        <v>376</v>
      </c>
      <c r="V41" s="126"/>
    </row>
    <row r="42" spans="1:22" ht="9.75" customHeight="1">
      <c r="A42" s="870"/>
      <c r="B42" s="321"/>
      <c r="D42" s="132"/>
      <c r="E42" s="936"/>
      <c r="F42" s="731"/>
      <c r="G42" s="951" t="s">
        <v>303</v>
      </c>
      <c r="H42" s="952">
        <f>IF(N1&lt;=7,18*I2,15*I2)</f>
        <v>29.099999999999998</v>
      </c>
      <c r="I42" s="953" t="str">
        <f>IF(N1&lt;=7,"/48hr",IF(N1&lt;=28,"/36hr","/24hr"))</f>
        <v>/24hr</v>
      </c>
      <c r="K42" s="2" t="s">
        <v>366</v>
      </c>
      <c r="L42" s="132"/>
      <c r="M42" s="132"/>
      <c r="N42" s="132"/>
      <c r="O42" s="132"/>
      <c r="P42" s="132"/>
      <c r="Q42" s="132"/>
      <c r="R42" s="732"/>
      <c r="S42" s="733"/>
      <c r="T42" s="134"/>
      <c r="U42" s="452"/>
      <c r="V42" s="126"/>
    </row>
    <row r="43" spans="1:45" s="10" customFormat="1" ht="28.5" customHeight="1">
      <c r="A43" s="870"/>
      <c r="B43" s="474"/>
      <c r="C43" s="474"/>
      <c r="D43" s="475"/>
      <c r="E43" s="474"/>
      <c r="F43" s="476"/>
      <c r="G43" s="477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9"/>
      <c r="S43" s="719"/>
      <c r="T43" s="479"/>
      <c r="U43" s="474"/>
      <c r="V43" s="124"/>
      <c r="W43" s="14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1:22" ht="13.5" customHeight="1">
      <c r="A44" s="870"/>
      <c r="B44" s="179" t="s">
        <v>188</v>
      </c>
      <c r="C44" s="180"/>
      <c r="D44" s="915" t="str">
        <f>IF(G6=1,IF(V12&lt;3,"A","B"),IF(G6=2,IF(V12&lt;3,"C","D"),IF(G6=3,IF(V12&lt;2,"E","F"),IF(G6=4,"G","??"))))</f>
        <v>??</v>
      </c>
      <c r="E44" s="723">
        <f>10*I2</f>
        <v>19.4</v>
      </c>
      <c r="F44" s="420"/>
      <c r="G44" s="914" t="str">
        <f>IF(D44="A","/ 18 hr",IF(D44="B","/ 12 hr",IF(D44="C","/ 12 hr",IF(D44="D","/ 8 hr",IF(D44="E","/ 12 hr",IF(D44="F","/ 8 hr",IF(D44="G","/ 6 hr","¿?")))))))</f>
        <v>¿?</v>
      </c>
      <c r="H44" s="182" t="s">
        <v>216</v>
      </c>
      <c r="I44" s="182"/>
      <c r="J44" s="182"/>
      <c r="K44" s="180"/>
      <c r="L44" s="180"/>
      <c r="M44" s="180"/>
      <c r="N44" s="180"/>
      <c r="O44" s="180"/>
      <c r="P44" s="180"/>
      <c r="Q44" s="180"/>
      <c r="R44" s="577" t="s">
        <v>11</v>
      </c>
      <c r="S44" s="427" t="s">
        <v>10</v>
      </c>
      <c r="T44" s="182"/>
      <c r="U44" s="735" t="s">
        <v>399</v>
      </c>
      <c r="V44" s="126"/>
    </row>
    <row r="45" spans="1:22" ht="13.5" customHeight="1">
      <c r="A45" s="870"/>
      <c r="B45" s="179" t="s">
        <v>190</v>
      </c>
      <c r="C45" s="180"/>
      <c r="D45" s="180"/>
      <c r="E45" s="723">
        <f>10*I2</f>
        <v>19.4</v>
      </c>
      <c r="F45" s="420"/>
      <c r="G45" s="419" t="s">
        <v>335</v>
      </c>
      <c r="H45" s="420"/>
      <c r="I45" s="420"/>
      <c r="J45" s="420"/>
      <c r="K45" s="913" t="s">
        <v>334</v>
      </c>
      <c r="L45" s="737"/>
      <c r="M45" s="912">
        <f>6*I2</f>
        <v>11.64</v>
      </c>
      <c r="N45" s="1024">
        <f>15*I2</f>
        <v>29.099999999999998</v>
      </c>
      <c r="O45" s="1025"/>
      <c r="P45" s="1025"/>
      <c r="Q45" s="1026"/>
      <c r="R45" s="577" t="s">
        <v>11</v>
      </c>
      <c r="S45" s="427" t="s">
        <v>8</v>
      </c>
      <c r="T45" s="182"/>
      <c r="U45" s="184" t="s">
        <v>400</v>
      </c>
      <c r="V45" s="126"/>
    </row>
    <row r="46" spans="1:45" s="10" customFormat="1" ht="28.5" customHeight="1">
      <c r="A46" s="870"/>
      <c r="B46" s="474"/>
      <c r="C46" s="474"/>
      <c r="D46" s="475"/>
      <c r="E46" s="474"/>
      <c r="F46" s="476"/>
      <c r="G46" s="477"/>
      <c r="H46" s="474"/>
      <c r="I46" s="474"/>
      <c r="J46" s="474"/>
      <c r="K46" s="474"/>
      <c r="L46" s="474"/>
      <c r="M46" s="415"/>
      <c r="N46" s="415"/>
      <c r="O46" s="415"/>
      <c r="P46" s="415"/>
      <c r="Q46" s="415"/>
      <c r="R46" s="418"/>
      <c r="S46" s="717"/>
      <c r="T46" s="418"/>
      <c r="U46" s="415"/>
      <c r="V46" s="124"/>
      <c r="W46" s="14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</row>
    <row r="47" spans="1:45" s="428" customFormat="1" ht="12.75" customHeight="1">
      <c r="A47" s="870"/>
      <c r="B47" s="425" t="s">
        <v>260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127"/>
      <c r="W47" s="147"/>
      <c r="X47" s="868"/>
      <c r="Y47" s="868"/>
      <c r="Z47" s="868"/>
      <c r="AA47" s="868"/>
      <c r="AB47" s="868"/>
      <c r="AC47" s="868"/>
      <c r="AD47" s="868"/>
      <c r="AE47" s="868"/>
      <c r="AF47" s="868"/>
      <c r="AG47" s="868"/>
      <c r="AH47" s="868"/>
      <c r="AI47" s="868"/>
      <c r="AJ47" s="868"/>
      <c r="AK47" s="868"/>
      <c r="AL47" s="868"/>
      <c r="AM47" s="868"/>
      <c r="AN47" s="868"/>
      <c r="AO47" s="868"/>
      <c r="AP47" s="868"/>
      <c r="AQ47" s="868"/>
      <c r="AR47" s="868"/>
      <c r="AS47" s="868"/>
    </row>
    <row r="48" spans="1:22" ht="1.5" customHeight="1">
      <c r="A48" s="870"/>
      <c r="B48" s="750"/>
      <c r="C48" s="750"/>
      <c r="D48" s="750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1"/>
      <c r="T48" s="750"/>
      <c r="U48" s="750"/>
      <c r="V48" s="126"/>
    </row>
    <row r="49" spans="1:22" ht="13.5" customHeight="1">
      <c r="A49" s="870"/>
      <c r="B49" s="179" t="s">
        <v>189</v>
      </c>
      <c r="C49" s="180"/>
      <c r="D49" s="180"/>
      <c r="E49" s="422"/>
      <c r="F49" s="937" t="s">
        <v>27</v>
      </c>
      <c r="G49" s="938"/>
      <c r="I49" s="939" t="s">
        <v>113</v>
      </c>
      <c r="J49" s="945"/>
      <c r="K49" s="946" t="s">
        <v>336</v>
      </c>
      <c r="L49" s="944"/>
      <c r="M49" s="944"/>
      <c r="N49" s="752" t="s">
        <v>3</v>
      </c>
      <c r="O49" s="746"/>
      <c r="P49" s="745"/>
      <c r="Q49" s="745"/>
      <c r="R49" s="423"/>
      <c r="S49" s="466"/>
      <c r="T49" s="423"/>
      <c r="U49" s="424"/>
      <c r="V49" s="126"/>
    </row>
    <row r="50" spans="1:22" ht="13.5" customHeight="1">
      <c r="A50" s="870"/>
      <c r="B50" s="179"/>
      <c r="C50" s="180" t="s">
        <v>69</v>
      </c>
      <c r="D50" s="180"/>
      <c r="E50" s="459">
        <f>0.5*I2</f>
        <v>0.97</v>
      </c>
      <c r="F50" s="874" t="s">
        <v>28</v>
      </c>
      <c r="G50" s="875">
        <f>1*I2</f>
        <v>1.94</v>
      </c>
      <c r="H50" s="940"/>
      <c r="I50" s="941" t="s">
        <v>337</v>
      </c>
      <c r="J50" s="942"/>
      <c r="K50" s="876">
        <f>0.5*I2</f>
        <v>0.97</v>
      </c>
      <c r="L50" s="874" t="s">
        <v>28</v>
      </c>
      <c r="M50" s="877">
        <f>I2</f>
        <v>1.94</v>
      </c>
      <c r="N50" s="285" t="s">
        <v>2</v>
      </c>
      <c r="O50" s="747"/>
      <c r="P50" s="748"/>
      <c r="Q50" s="749"/>
      <c r="R50" s="182"/>
      <c r="S50" s="718"/>
      <c r="T50" s="182"/>
      <c r="U50" s="184"/>
      <c r="V50" s="126"/>
    </row>
    <row r="51" spans="1:22" ht="13.5" customHeight="1">
      <c r="A51" s="870"/>
      <c r="B51" s="179"/>
      <c r="C51" s="180" t="s">
        <v>70</v>
      </c>
      <c r="D51" s="180"/>
      <c r="E51" s="878"/>
      <c r="F51" s="1027">
        <f>I2*5</f>
        <v>9.7</v>
      </c>
      <c r="G51" s="1028"/>
      <c r="H51" s="1029">
        <f>I2</f>
        <v>1.94</v>
      </c>
      <c r="I51" s="1030"/>
      <c r="J51" s="1031"/>
      <c r="K51" s="1032">
        <f>7*I2</f>
        <v>13.58</v>
      </c>
      <c r="L51" s="1033"/>
      <c r="M51" s="1033"/>
      <c r="N51" s="285" t="s">
        <v>1</v>
      </c>
      <c r="O51" s="747"/>
      <c r="P51" s="748"/>
      <c r="Q51" s="749"/>
      <c r="R51" s="744"/>
      <c r="S51" s="718"/>
      <c r="T51" s="182"/>
      <c r="U51" s="184"/>
      <c r="V51" s="126"/>
    </row>
    <row r="52" spans="1:22" ht="13.5" customHeight="1">
      <c r="A52" s="870"/>
      <c r="B52" s="179"/>
      <c r="C52" s="180" t="s">
        <v>12</v>
      </c>
      <c r="D52" s="180"/>
      <c r="E52" s="878"/>
      <c r="F52" s="1027">
        <f>I2*5</f>
        <v>9.7</v>
      </c>
      <c r="G52" s="1028"/>
      <c r="H52" s="1029">
        <f>I2</f>
        <v>1.94</v>
      </c>
      <c r="I52" s="1030"/>
      <c r="J52" s="1031"/>
      <c r="K52" s="1032">
        <f>7*I2</f>
        <v>13.58</v>
      </c>
      <c r="L52" s="1033"/>
      <c r="M52" s="1033"/>
      <c r="N52" s="285" t="s">
        <v>1</v>
      </c>
      <c r="O52" s="747"/>
      <c r="P52" s="748"/>
      <c r="Q52" s="749"/>
      <c r="R52" s="744"/>
      <c r="S52" s="182"/>
      <c r="T52" s="182"/>
      <c r="U52" s="184"/>
      <c r="V52" s="126"/>
    </row>
    <row r="53" spans="1:45" s="10" customFormat="1" ht="28.5" customHeight="1">
      <c r="A53" s="870"/>
      <c r="B53" s="474"/>
      <c r="C53" s="474"/>
      <c r="D53" s="475"/>
      <c r="E53" s="474"/>
      <c r="F53" s="476"/>
      <c r="G53" s="477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9"/>
      <c r="S53" s="719"/>
      <c r="T53" s="479"/>
      <c r="U53" s="474"/>
      <c r="V53" s="124"/>
      <c r="W53" s="14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</row>
    <row r="54" spans="1:45" s="428" customFormat="1" ht="12.75" customHeight="1">
      <c r="A54" s="870"/>
      <c r="B54" s="425" t="s">
        <v>420</v>
      </c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127"/>
      <c r="W54" s="147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8"/>
      <c r="AL54" s="868"/>
      <c r="AM54" s="868"/>
      <c r="AN54" s="868"/>
      <c r="AO54" s="868"/>
      <c r="AP54" s="868"/>
      <c r="AQ54" s="868"/>
      <c r="AR54" s="868"/>
      <c r="AS54" s="868"/>
    </row>
    <row r="55" spans="1:22" ht="1.5" customHeight="1">
      <c r="A55" s="870"/>
      <c r="B55" s="750"/>
      <c r="C55" s="750"/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1"/>
      <c r="T55" s="750"/>
      <c r="U55" s="750"/>
      <c r="V55" s="126"/>
    </row>
    <row r="56" spans="1:22" ht="13.5" customHeight="1">
      <c r="A56" s="870"/>
      <c r="B56" s="179" t="s">
        <v>327</v>
      </c>
      <c r="C56" s="180"/>
      <c r="D56" s="180"/>
      <c r="E56" s="790">
        <f>20*I2</f>
        <v>38.8</v>
      </c>
      <c r="F56" s="420"/>
      <c r="G56" s="429" t="s">
        <v>307</v>
      </c>
      <c r="H56" s="182" t="s">
        <v>128</v>
      </c>
      <c r="I56" s="182"/>
      <c r="J56" s="182"/>
      <c r="K56" s="180"/>
      <c r="L56" s="180"/>
      <c r="M56" s="180"/>
      <c r="N56" s="180"/>
      <c r="O56" s="180"/>
      <c r="P56" s="180"/>
      <c r="Q56" s="180"/>
      <c r="R56" s="183"/>
      <c r="S56" s="712"/>
      <c r="T56" s="182"/>
      <c r="U56" s="184" t="s">
        <v>297</v>
      </c>
      <c r="V56" s="126"/>
    </row>
    <row r="57" spans="1:22" ht="13.5" customHeight="1">
      <c r="A57" s="870"/>
      <c r="B57" s="179" t="s">
        <v>416</v>
      </c>
      <c r="C57" s="180"/>
      <c r="D57" s="180"/>
      <c r="E57" s="790">
        <f>6*I2</f>
        <v>11.64</v>
      </c>
      <c r="F57" s="420"/>
      <c r="G57" s="429" t="s">
        <v>417</v>
      </c>
      <c r="H57" s="182" t="s">
        <v>418</v>
      </c>
      <c r="I57" s="182"/>
      <c r="J57" s="182"/>
      <c r="K57" s="180"/>
      <c r="L57" s="180"/>
      <c r="M57" s="180"/>
      <c r="N57" s="180"/>
      <c r="O57" s="180"/>
      <c r="P57" s="180"/>
      <c r="Q57" s="180"/>
      <c r="R57" s="183"/>
      <c r="S57" s="712"/>
      <c r="T57" s="182"/>
      <c r="U57" s="184" t="s">
        <v>419</v>
      </c>
      <c r="V57" s="126"/>
    </row>
    <row r="58" spans="1:22" ht="6.75" customHeight="1">
      <c r="A58" s="870"/>
      <c r="B58" s="415"/>
      <c r="C58" s="415"/>
      <c r="D58" s="430"/>
      <c r="E58" s="430"/>
      <c r="F58" s="421"/>
      <c r="G58" s="416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7"/>
      <c r="S58" s="717"/>
      <c r="T58" s="418"/>
      <c r="U58" s="415"/>
      <c r="V58" s="126"/>
    </row>
    <row r="59" spans="1:22" ht="12.75" customHeight="1">
      <c r="A59" s="870"/>
      <c r="B59" s="301" t="s">
        <v>395</v>
      </c>
      <c r="C59" s="180"/>
      <c r="D59" s="180"/>
      <c r="E59" s="790">
        <f>I2*15</f>
        <v>29.099999999999998</v>
      </c>
      <c r="F59" s="420"/>
      <c r="G59" s="954">
        <f>E59/100</f>
        <v>0.291</v>
      </c>
      <c r="H59" s="182" t="s">
        <v>333</v>
      </c>
      <c r="I59" s="429"/>
      <c r="J59" s="180"/>
      <c r="K59" s="180"/>
      <c r="L59" s="180"/>
      <c r="M59" s="180"/>
      <c r="N59" s="180"/>
      <c r="O59" s="180"/>
      <c r="P59" s="180"/>
      <c r="Q59" s="180"/>
      <c r="R59" s="183"/>
      <c r="S59" s="712"/>
      <c r="T59" s="182"/>
      <c r="U59" s="184" t="s">
        <v>68</v>
      </c>
      <c r="V59" s="126"/>
    </row>
    <row r="60" spans="1:22" ht="184.5" customHeight="1">
      <c r="A60" s="345"/>
      <c r="B60" s="474"/>
      <c r="C60" s="474"/>
      <c r="D60" s="475"/>
      <c r="E60" s="475"/>
      <c r="F60" s="476"/>
      <c r="G60" s="477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8"/>
      <c r="S60" s="719"/>
      <c r="T60" s="479"/>
      <c r="U60" s="474"/>
      <c r="V60" s="126"/>
    </row>
    <row r="61" spans="1:45" s="10" customFormat="1" ht="12">
      <c r="A61" s="344"/>
      <c r="B61" s="344"/>
      <c r="C61" s="480"/>
      <c r="D61" s="480"/>
      <c r="E61" s="481"/>
      <c r="F61" s="482"/>
      <c r="G61" s="483"/>
      <c r="H61" s="344"/>
      <c r="I61" s="344"/>
      <c r="J61" s="344"/>
      <c r="K61" s="344"/>
      <c r="L61" s="484"/>
      <c r="M61" s="484"/>
      <c r="N61" s="484"/>
      <c r="O61" s="484"/>
      <c r="P61" s="344"/>
      <c r="Q61" s="344"/>
      <c r="R61" s="344"/>
      <c r="S61" s="720"/>
      <c r="T61" s="344"/>
      <c r="U61" s="344"/>
      <c r="V61" s="344"/>
      <c r="W61" s="14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</row>
    <row r="62" spans="1:22" ht="12">
      <c r="A62" s="344"/>
      <c r="B62" s="821" t="s">
        <v>150</v>
      </c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485"/>
      <c r="Q62" s="485"/>
      <c r="R62" s="485"/>
      <c r="S62" s="721"/>
      <c r="T62" s="126"/>
      <c r="U62" s="526" t="s">
        <v>375</v>
      </c>
      <c r="V62" s="344"/>
    </row>
    <row r="63" s="147" customFormat="1" ht="318.75" customHeight="1">
      <c r="S63" s="869"/>
    </row>
    <row r="64" s="147" customFormat="1" ht="12">
      <c r="S64" s="869"/>
    </row>
    <row r="65" s="147" customFormat="1" ht="12">
      <c r="S65" s="869"/>
    </row>
    <row r="66" s="147" customFormat="1" ht="12">
      <c r="S66" s="869"/>
    </row>
    <row r="67" s="147" customFormat="1" ht="12">
      <c r="S67" s="869"/>
    </row>
    <row r="68" s="147" customFormat="1" ht="12">
      <c r="S68" s="869"/>
    </row>
    <row r="69" s="147" customFormat="1" ht="12">
      <c r="S69" s="869"/>
    </row>
    <row r="70" s="147" customFormat="1" ht="12">
      <c r="S70" s="869"/>
    </row>
    <row r="71" s="147" customFormat="1" ht="12">
      <c r="S71" s="869"/>
    </row>
    <row r="72" s="147" customFormat="1" ht="12">
      <c r="S72" s="869"/>
    </row>
    <row r="73" s="147" customFormat="1" ht="12">
      <c r="S73" s="869"/>
    </row>
    <row r="74" s="147" customFormat="1" ht="12">
      <c r="S74" s="869"/>
    </row>
    <row r="75" s="147" customFormat="1" ht="12">
      <c r="S75" s="869"/>
    </row>
    <row r="76" s="147" customFormat="1" ht="12">
      <c r="S76" s="869"/>
    </row>
    <row r="77" s="147" customFormat="1" ht="12">
      <c r="S77" s="869"/>
    </row>
    <row r="78" s="147" customFormat="1" ht="12">
      <c r="S78" s="869"/>
    </row>
    <row r="79" s="147" customFormat="1" ht="12">
      <c r="S79" s="869"/>
    </row>
    <row r="80" s="147" customFormat="1" ht="12">
      <c r="S80" s="869"/>
    </row>
    <row r="81" s="147" customFormat="1" ht="12">
      <c r="S81" s="869"/>
    </row>
    <row r="82" s="147" customFormat="1" ht="12">
      <c r="S82" s="869"/>
    </row>
    <row r="83" s="147" customFormat="1" ht="12">
      <c r="S83" s="869"/>
    </row>
    <row r="84" s="147" customFormat="1" ht="12">
      <c r="S84" s="869"/>
    </row>
    <row r="85" s="147" customFormat="1" ht="12">
      <c r="S85" s="869"/>
    </row>
    <row r="86" s="147" customFormat="1" ht="12">
      <c r="S86" s="869"/>
    </row>
    <row r="87" s="147" customFormat="1" ht="12">
      <c r="S87" s="869"/>
    </row>
    <row r="88" s="147" customFormat="1" ht="12">
      <c r="S88" s="869"/>
    </row>
    <row r="89" s="147" customFormat="1" ht="12">
      <c r="S89" s="869"/>
    </row>
    <row r="90" s="147" customFormat="1" ht="12">
      <c r="S90" s="869"/>
    </row>
    <row r="91" s="147" customFormat="1" ht="12">
      <c r="S91" s="869"/>
    </row>
    <row r="92" s="147" customFormat="1" ht="12">
      <c r="S92" s="869"/>
    </row>
    <row r="93" s="147" customFormat="1" ht="12">
      <c r="S93" s="869"/>
    </row>
    <row r="94" s="147" customFormat="1" ht="12">
      <c r="S94" s="869"/>
    </row>
    <row r="95" s="147" customFormat="1" ht="12">
      <c r="S95" s="869"/>
    </row>
    <row r="96" s="147" customFormat="1" ht="12">
      <c r="S96" s="869"/>
    </row>
    <row r="97" s="147" customFormat="1" ht="12">
      <c r="S97" s="869"/>
    </row>
    <row r="98" s="147" customFormat="1" ht="12">
      <c r="S98" s="869"/>
    </row>
    <row r="99" s="147" customFormat="1" ht="12">
      <c r="S99" s="869"/>
    </row>
    <row r="100" s="147" customFormat="1" ht="12">
      <c r="S100" s="869"/>
    </row>
    <row r="101" s="147" customFormat="1" ht="12">
      <c r="S101" s="869"/>
    </row>
    <row r="102" s="147" customFormat="1" ht="12">
      <c r="S102" s="869"/>
    </row>
    <row r="103" s="147" customFormat="1" ht="12">
      <c r="S103" s="869"/>
    </row>
    <row r="104" s="147" customFormat="1" ht="12">
      <c r="S104" s="869"/>
    </row>
    <row r="105" s="147" customFormat="1" ht="12">
      <c r="S105" s="869"/>
    </row>
    <row r="106" s="147" customFormat="1" ht="12">
      <c r="S106" s="869"/>
    </row>
    <row r="107" s="147" customFormat="1" ht="12">
      <c r="S107" s="869"/>
    </row>
    <row r="108" s="147" customFormat="1" ht="12">
      <c r="S108" s="869"/>
    </row>
    <row r="109" s="147" customFormat="1" ht="12">
      <c r="S109" s="869"/>
    </row>
    <row r="110" s="147" customFormat="1" ht="12">
      <c r="S110" s="869"/>
    </row>
    <row r="111" s="147" customFormat="1" ht="12">
      <c r="S111" s="869"/>
    </row>
    <row r="112" s="147" customFormat="1" ht="12">
      <c r="S112" s="869"/>
    </row>
    <row r="113" s="147" customFormat="1" ht="12">
      <c r="S113" s="869"/>
    </row>
    <row r="114" s="147" customFormat="1" ht="12">
      <c r="S114" s="869"/>
    </row>
    <row r="115" s="147" customFormat="1" ht="12">
      <c r="S115" s="869"/>
    </row>
    <row r="116" s="147" customFormat="1" ht="12">
      <c r="S116" s="869"/>
    </row>
    <row r="117" s="147" customFormat="1" ht="12">
      <c r="S117" s="869"/>
    </row>
    <row r="118" s="147" customFormat="1" ht="12">
      <c r="S118" s="869"/>
    </row>
    <row r="119" s="147" customFormat="1" ht="12">
      <c r="S119" s="869"/>
    </row>
    <row r="120" s="147" customFormat="1" ht="12">
      <c r="S120" s="869"/>
    </row>
  </sheetData>
  <sheetProtection password="CC1A" sheet="1" objects="1" scenarios="1"/>
  <mergeCells count="15">
    <mergeCell ref="N45:Q45"/>
    <mergeCell ref="F52:G52"/>
    <mergeCell ref="H52:J52"/>
    <mergeCell ref="K52:M52"/>
    <mergeCell ref="F51:G51"/>
    <mergeCell ref="H51:J51"/>
    <mergeCell ref="K51:M51"/>
    <mergeCell ref="I1:K1"/>
    <mergeCell ref="I2:J2"/>
    <mergeCell ref="H35:J35"/>
    <mergeCell ref="T9:U10"/>
    <mergeCell ref="B9:D10"/>
    <mergeCell ref="E9:F10"/>
    <mergeCell ref="H9:M10"/>
    <mergeCell ref="G9:G10"/>
  </mergeCells>
  <printOptions/>
  <pageMargins left="0.2362204724409449" right="0.07874015748031496" top="0.1968503937007874" bottom="0.07874015748031496" header="0" footer="0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jabs</Manager>
  <Company>AlBalaSa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Neodosis</dc:title>
  <dc:subject>Calculador de fármacos y procedimientos neonatales</dc:subject>
  <dc:creator>J Albert Balaguer S.</dc:creator>
  <cp:keywords/>
  <dc:description/>
  <cp:lastModifiedBy>José Uberos</cp:lastModifiedBy>
  <cp:lastPrinted>2004-12-22T15:19:48Z</cp:lastPrinted>
  <dcterms:created xsi:type="dcterms:W3CDTF">2001-01-03T11:34:41Z</dcterms:created>
  <dcterms:modified xsi:type="dcterms:W3CDTF">2017-05-23T12:04:23Z</dcterms:modified>
  <cp:category>versión 2</cp:category>
  <cp:version/>
  <cp:contentType/>
  <cp:contentStatus/>
</cp:coreProperties>
</file>